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345" windowHeight="5865" activeTab="0"/>
  </bookViews>
  <sheets>
    <sheet name="Cover Page" sheetId="1" r:id="rId1"/>
    <sheet name="Page 1" sheetId="2" r:id="rId2"/>
    <sheet name="Page 2" sheetId="3" r:id="rId3"/>
    <sheet name="Page 3" sheetId="4" r:id="rId4"/>
    <sheet name="Page 4" sheetId="5" r:id="rId5"/>
    <sheet name="Page 5" sheetId="6" r:id="rId6"/>
    <sheet name="Page 6" sheetId="7" r:id="rId7"/>
    <sheet name="Page 7" sheetId="8" r:id="rId8"/>
    <sheet name="Page 8" sheetId="9" r:id="rId9"/>
    <sheet name="Page 9" sheetId="10" r:id="rId10"/>
    <sheet name="Page 10" sheetId="11" r:id="rId11"/>
    <sheet name="Instructions" sheetId="12" r:id="rId12"/>
  </sheets>
  <externalReferences>
    <externalReference r:id="rId15"/>
    <externalReference r:id="rId16"/>
    <externalReference r:id="rId17"/>
    <externalReference r:id="rId18"/>
  </externalReferences>
  <definedNames>
    <definedName name="_Order1" hidden="1">255</definedName>
    <definedName name="ActualTotalFederalAndStateProjects">'Page 9'!$J$39</definedName>
    <definedName name="ActualTotalInstImpExp">'Page 5'!$I$11</definedName>
    <definedName name="AdditionalTeacherSalaryLine1">'Instructions'!$C$33</definedName>
    <definedName name="AdditionalTeacherSalaryLine2">'Instructions'!$C$34</definedName>
    <definedName name="AdditionalTeacherSalaryLine3">'Instructions'!$C$35</definedName>
    <definedName name="AddlInstrImprProjEndBal">'Page 5'!$F$19</definedName>
    <definedName name="AllDisabilityClassifications">'Instructions'!$C$38</definedName>
    <definedName name="ARRADetail">'Instructions'!#REF!</definedName>
    <definedName name="AuditServices">'Instructions'!$C$14</definedName>
    <definedName name="CapitalAcquisitions">'Instructions'!$C$15</definedName>
    <definedName name="CapitalAcquisitionsLine5">'Instructions'!$C$16</definedName>
    <definedName name="CashandInvestments">'Instructions'!$C$48</definedName>
    <definedName name="CashBal">'Page 7'!$F$6</definedName>
    <definedName name="ChartofAccounts">'Instructions'!#REF!</definedName>
    <definedName name="CIP1072EndBal">'Page 6'!$O$48</definedName>
    <definedName name="County">'[4]Cover'!$J$1</definedName>
    <definedName name="CoverDistrictName">'[4]Cover'!$D$1</definedName>
    <definedName name="CSP1011Act">'Page 3'!$I$23</definedName>
    <definedName name="CSP1011Budg">'Page 3'!$H$23</definedName>
    <definedName name="CSP1011EndBal">'Page 4'!$F$38</definedName>
    <definedName name="CSP1011O6100">'Page 3'!$F$23</definedName>
    <definedName name="CSP1011O6200">'Page 3'!$G$23</definedName>
    <definedName name="CSP1012Act">'Page 3'!$I$40</definedName>
    <definedName name="CSP1012Budg">'Page 3'!$H$40</definedName>
    <definedName name="CSP1012EndBal">'Page 4'!$G$38</definedName>
    <definedName name="CSP1012O6100">'Page 3'!$F$40</definedName>
    <definedName name="CSP1012O6200">'Page 3'!$G$40</definedName>
    <definedName name="CSP1013Act">'Page 4'!$K$25</definedName>
    <definedName name="CSP1013Budg">'Page 4'!$J$25</definedName>
    <definedName name="CSP1013EndBal">'Page 4'!$H$38</definedName>
    <definedName name="CSP1013O6100">'Page 4'!$F$25</definedName>
    <definedName name="CSP1013O6200">'Page 4'!$G$25</definedName>
    <definedName name="CSP1013O630064006500">'Page 4'!$H$25</definedName>
    <definedName name="CSP1013O6600">'Page 4'!$I$25</definedName>
    <definedName name="CurrAssets">'Page 7'!#REF!</definedName>
    <definedName name="CurrentAssetsCurrentLiabilities">'Instructions'!#REF!</definedName>
    <definedName name="CurrentExpensesByCategory">'Instructions'!$C$19</definedName>
    <definedName name="CurrentExpensesByCategoryLine1">'Instructions'!$C$20</definedName>
    <definedName name="CurrentExpensesByCategoryLine2">'Instructions'!$C$21</definedName>
    <definedName name="CurrentExpensesByCategoryLine3">'Instructions'!$C$22</definedName>
    <definedName name="CurrentExpensesByCategoryLine4">'Instructions'!$C$23</definedName>
    <definedName name="CurrentExpensesByCategoryLine5">'Instructions'!$C$24</definedName>
    <definedName name="CurrentExpensesbyCategoryLines7and8">'Instructions'!$C$25</definedName>
    <definedName name="CurrLiabilities">'Page 7'!#REF!</definedName>
    <definedName name="DebtService">'Instructions'!$C$47</definedName>
    <definedName name="ExpensesPage2">'Instructions'!$C$12</definedName>
    <definedName name="FederalAndStateProjectsPage2">'Instructions'!$C$13</definedName>
    <definedName name="FederalAndStateProjectsPage9">'Instructions'!$C$40</definedName>
    <definedName name="FederalAndStateProjectsPage9Line30">'Instructions'!$C$42</definedName>
    <definedName name="Food_Service_1600">'Instructions'!$C$9</definedName>
    <definedName name="FP11001130EndBal">'Page 9'!$L$6</definedName>
    <definedName name="FP11401150EndBal">'Page 9'!$L$7</definedName>
    <definedName name="FP1160EndBal">'Page 9'!$L$8</definedName>
    <definedName name="FP11701180EndBal">'Page 9'!$L$9</definedName>
    <definedName name="FP1190EndBal">'Page 9'!$L$10</definedName>
    <definedName name="FP1200EndBal">'Page 9'!$L$11</definedName>
    <definedName name="FP1210EndBal">'Page 9'!$L$12</definedName>
    <definedName name="FP1220EndBal">'Page 9'!$L$13</definedName>
    <definedName name="FP1230EndBal">'Page 9'!$L$14</definedName>
    <definedName name="FP1240EndBal">'Page 9'!$L$15</definedName>
    <definedName name="FP1250EndBal">'Page 9'!$L$16</definedName>
    <definedName name="FP1260EndBal">'Page 9'!$L$17</definedName>
    <definedName name="FP1280EndBal">'Page 9'!$L$18</definedName>
    <definedName name="FP1290EndBal">'Page 9'!$L$19</definedName>
    <definedName name="FP1300EndBal">'Page 9'!$L$20</definedName>
    <definedName name="FP13101399EndBal">'Page 9'!$L$22</definedName>
    <definedName name="FullTimeEquivalentTeachers">'Instructions'!$C$26</definedName>
    <definedName name="GeneralInstructions">'Instructions'!$C$2</definedName>
    <definedName name="GeneralPage1">'Instructions'!$C$8</definedName>
    <definedName name="GeneralPage10">'Instructions'!$C$43</definedName>
    <definedName name="ImpactAidandOtherFederalProjects">'Instructions'!$C$41</definedName>
    <definedName name="InvestmentInCapitalAssets">'Instructions'!$C$17</definedName>
    <definedName name="InvestmentInCapitalAssetsLine5">'Instructions'!$C$18</definedName>
    <definedName name="LongandShortTermDebt">'Instructions'!$C$49</definedName>
    <definedName name="NameCountyCTDSNumber">'Instructions'!$C$7</definedName>
    <definedName name="_xlnm.Print_Area" localSheetId="0">'Cover Page'!$A$1:$R$35</definedName>
    <definedName name="_xlnm.Print_Area" localSheetId="11">'Instructions'!$A$1:$C$51</definedName>
    <definedName name="_xlnm.Print_Area" localSheetId="1">'Page 1'!$A$1:$N$35</definedName>
    <definedName name="_xlnm.Print_Area" localSheetId="10">'Page 10'!$A$1:$L$50</definedName>
    <definedName name="_xlnm.Print_Area" localSheetId="2">'Page 2'!$A$1:$M$47</definedName>
    <definedName name="_xlnm.Print_Area" localSheetId="3">'Page 3'!$A$1:$J$43</definedName>
    <definedName name="_xlnm.Print_Area" localSheetId="4">'Page 4'!$A$1:$L$38</definedName>
    <definedName name="_xlnm.Print_Area" localSheetId="5">'Page 5'!$A$1:$M$28</definedName>
    <definedName name="_xlnm.Print_Area" localSheetId="7">'Page 7'!$A$1:$U$37</definedName>
    <definedName name="_xlnm.Print_Area" localSheetId="8">'Page 8'!$A$1:$W$27</definedName>
    <definedName name="_xlnm.Print_Area" localSheetId="9">'Page 9'!$A$1:$M$39</definedName>
    <definedName name="Program_200_Budget_and_Program_200_Actual_column_totals_should_equal_line_27_on_page_2.">'Instructions'!$C$39</definedName>
    <definedName name="Program200Total">'Instructions'!#REF!</definedName>
    <definedName name="Programs610620630">'Instructions'!$C$44</definedName>
    <definedName name="PropertyDisbursements">'Instructions'!$C$45</definedName>
    <definedName name="PropertyDisbursementsByType">'Instructions'!$C$46</definedName>
    <definedName name="Restricted3200">'Instructions'!$C$10</definedName>
    <definedName name="RevenueFromSponsoringSchoolDistrict">'Instructions'!#REF!</definedName>
    <definedName name="SEIP1071EndBal">'Page 6'!$O$26</definedName>
    <definedName name="SP1000ClassSiteProj">'Page 2'!$J$42</definedName>
    <definedName name="SP1000CompInstrProj">'Page 2'!$J$45</definedName>
    <definedName name="SP1000FedStProj">'Page 2'!$J$46</definedName>
    <definedName name="SP1000InstrImpProj">'Page 2'!$J$43</definedName>
    <definedName name="SP1000P100F1000">'Page 2'!$J$6</definedName>
    <definedName name="SP1000P100F2100">'Page 2'!$J$8</definedName>
    <definedName name="SP1000P100F2200">'Page 2'!$J$10</definedName>
    <definedName name="SP1000P100F2300">'Page 2'!$J$11</definedName>
    <definedName name="SP1000P100F2400">'Page 2'!$J$12</definedName>
    <definedName name="SP1000P100F2500">'Page 2'!$J$13</definedName>
    <definedName name="SP1000P100F2600">'Page 2'!$J$14</definedName>
    <definedName name="SP1000P100F2900">'Page 2'!$J$15</definedName>
    <definedName name="SP1000P100F3000">'Page 2'!$J$16</definedName>
    <definedName name="SP1000P100F4000">'Page 2'!$J$17</definedName>
    <definedName name="SP1000P100F5000">'Page 2'!$J$18</definedName>
    <definedName name="SP1000P200F1000">'Page 2'!$J$23</definedName>
    <definedName name="SP1000P200F2100">'Page 2'!$J$25</definedName>
    <definedName name="SP1000P200F2200">'Page 2'!$J$27</definedName>
    <definedName name="SP1000P200F2300">'Page 2'!$J$28</definedName>
    <definedName name="SP1000P200F2400">'Page 2'!$J$29</definedName>
    <definedName name="SP1000P200F2500">'Page 2'!$J$30</definedName>
    <definedName name="SP1000P200F2600">'Page 2'!$J$31</definedName>
    <definedName name="SP1000P200F2900">'Page 2'!$J$32</definedName>
    <definedName name="SP1000P200F3000">'Page 2'!$J$33</definedName>
    <definedName name="SP1000P200F4000">'Page 2'!$J$34</definedName>
    <definedName name="SP1000P200F5000">'Page 2'!$J$35</definedName>
    <definedName name="SP1000P300">'Page 2'!#REF!</definedName>
    <definedName name="SP1000P400">'Page 2'!$J$37</definedName>
    <definedName name="SP1000P530">'Page 2'!$J$38</definedName>
    <definedName name="SP1000P540">'Page 2'!$J$39</definedName>
    <definedName name="SP1000P550">'Page 2'!$J$40</definedName>
    <definedName name="SP1000P610">'Page 2'!$J$19</definedName>
    <definedName name="SP1000P620">'Page 2'!$J$20</definedName>
    <definedName name="SP1000P630700800900">'Page 2'!$J$21</definedName>
    <definedName name="SP1000StruEngImmProj">'Page 2'!$J$44</definedName>
    <definedName name="SpecialEdProgramsByType">'Instructions'!$C$37</definedName>
    <definedName name="StP1400EndBal">'Page 9'!$L$25</definedName>
    <definedName name="StP1410EndBal">'Page 9'!$L$26</definedName>
    <definedName name="StP1420EndBal">'Page 9'!$L$27</definedName>
    <definedName name="StP1425EndBal">'Page 9'!$L$28</definedName>
    <definedName name="StP1430EndBal">'Page 9'!$L$29</definedName>
    <definedName name="StP1435EndBal">'Page 9'!$L$30</definedName>
    <definedName name="StP1450EndBal">'Page 9'!$L$31</definedName>
    <definedName name="StP1455EndBal">'Page 9'!#REF!</definedName>
    <definedName name="StP1460EndBal">'Page 9'!$L$34</definedName>
    <definedName name="StP1465EndBal">'Page 9'!$L$35</definedName>
    <definedName name="StP14701499EndBal">'Page 9'!$L$36</definedName>
    <definedName name="StudentSuccessProject">'Instructions'!#REF!</definedName>
    <definedName name="TeacherSalaries">'Instructions'!$C$27</definedName>
    <definedName name="TeacherSalariesLine1">'Instructions'!$C$28</definedName>
    <definedName name="TeacherSalariesLine2">'Instructions'!$C$29</definedName>
    <definedName name="TeacherSalariesLine3">'Instructions'!$C$30</definedName>
    <definedName name="TeacherSalariesLine4">'Instructions'!$C$31</definedName>
    <definedName name="TeacherSalariesLine5">'Instructions'!$C$32</definedName>
    <definedName name="TechnologyDetail">'Instructions'!$C$51</definedName>
    <definedName name="TotalActualGiftedExpenses">'Instructions'!$C$36</definedName>
    <definedName name="TotalCIP6100">'Page 6'!$H$48</definedName>
    <definedName name="TotalCIP6200">'Page 6'!$I$48</definedName>
    <definedName name="TotalCIP630064006500">'Page 6'!$J$48</definedName>
    <definedName name="TotalCIP6600">'Page 6'!$K$48</definedName>
    <definedName name="TotalCIP6800">'Page 6'!$L$48</definedName>
    <definedName name="TotalCSP6100">'Page 4'!$F$26</definedName>
    <definedName name="TotalCSP6200">'Page 4'!$G$26</definedName>
    <definedName name="TotalCSP630064006500">'Page 4'!$H$26</definedName>
    <definedName name="TotalCSP6600">'Page 4'!$I$26</definedName>
    <definedName name="TotalCSPAct">'Page 4'!$K$26</definedName>
    <definedName name="TotalCSPBudg">'Page 4'!$J$26</definedName>
    <definedName name="TotalEnrollment">'Instructions'!#REF!</definedName>
    <definedName name="TotalSEIP6100">'Page 6'!$H$26</definedName>
    <definedName name="TotalSEIP6200">'Page 6'!$I$26</definedName>
    <definedName name="TotalSEIP630064006500">'Page 6'!$J$26</definedName>
    <definedName name="TotalSEIP6600">'Page 6'!$K$26</definedName>
    <definedName name="TotalSEIP6800">'Page 6'!$L$26</definedName>
    <definedName name="TotExpSchoolwide">'Page 2'!$J$41</definedName>
    <definedName name="Unrestricted_Restricted_4100_4300">'Instructions'!$C$11</definedName>
    <definedName name="UtilitiesandEnergyServices">'Instructions'!$C$50</definedName>
  </definedNames>
  <calcPr fullCalcOnLoad="1" fullPrecision="0"/>
</workbook>
</file>

<file path=xl/sharedStrings.xml><?xml version="1.0" encoding="utf-8"?>
<sst xmlns="http://schemas.openxmlformats.org/spreadsheetml/2006/main" count="988" uniqueCount="526">
  <si>
    <t>CHARTER SCHOOL</t>
  </si>
  <si>
    <t>COUNTY</t>
  </si>
  <si>
    <t>TITLE</t>
  </si>
  <si>
    <t xml:space="preserve"> </t>
  </si>
  <si>
    <t>ACTUAL</t>
  </si>
  <si>
    <t>1000 Local Sources</t>
  </si>
  <si>
    <t>1.</t>
  </si>
  <si>
    <t>2.</t>
  </si>
  <si>
    <t>3.</t>
  </si>
  <si>
    <t>4.</t>
  </si>
  <si>
    <t>5.</t>
  </si>
  <si>
    <t>6.</t>
  </si>
  <si>
    <t>7.</t>
  </si>
  <si>
    <t>2000 Intermediate Sources</t>
  </si>
  <si>
    <t>8.</t>
  </si>
  <si>
    <t>9.</t>
  </si>
  <si>
    <t>10.</t>
  </si>
  <si>
    <t>11.</t>
  </si>
  <si>
    <t>12.</t>
  </si>
  <si>
    <t>3000 State Sources</t>
  </si>
  <si>
    <t>13.</t>
  </si>
  <si>
    <t>14.</t>
  </si>
  <si>
    <t>15.</t>
  </si>
  <si>
    <t>16.</t>
  </si>
  <si>
    <t>17.</t>
  </si>
  <si>
    <t>4000 Federal Sources</t>
  </si>
  <si>
    <t>18.</t>
  </si>
  <si>
    <t>19.</t>
  </si>
  <si>
    <t>20.</t>
  </si>
  <si>
    <t>21.</t>
  </si>
  <si>
    <t>22.</t>
  </si>
  <si>
    <t>23.</t>
  </si>
  <si>
    <t>24.</t>
  </si>
  <si>
    <t>TOTAL</t>
  </si>
  <si>
    <t>6300, 6400, 6500</t>
  </si>
  <si>
    <t>BUDGET</t>
  </si>
  <si>
    <t>100 Regular Education</t>
  </si>
  <si>
    <t xml:space="preserve">    1000 Instruction</t>
  </si>
  <si>
    <t xml:space="preserve">       2300 General Administration </t>
  </si>
  <si>
    <t xml:space="preserve">       2400 School Administration </t>
  </si>
  <si>
    <t xml:space="preserve">    3000 Operation of Noninstructional Services</t>
  </si>
  <si>
    <t xml:space="preserve">    5000 Debt Service</t>
  </si>
  <si>
    <t>200 Special Education</t>
  </si>
  <si>
    <t xml:space="preserve">     1000 Instruction</t>
  </si>
  <si>
    <t xml:space="preserve">        2300 General Administration </t>
  </si>
  <si>
    <t xml:space="preserve">        2400 School Administration </t>
  </si>
  <si>
    <t xml:space="preserve">     3000 Operation of Noninstructional Services</t>
  </si>
  <si>
    <t xml:space="preserve">     5000 Debt Service</t>
  </si>
  <si>
    <t>400 Pupil Transportation</t>
  </si>
  <si>
    <t>530 Dropout Prevention Programs</t>
  </si>
  <si>
    <t>SUPPLEMENTARY INFORMATION</t>
  </si>
  <si>
    <t>A.</t>
  </si>
  <si>
    <t>$</t>
  </si>
  <si>
    <t>Number of Schools</t>
  </si>
  <si>
    <t>Actual Days in Session</t>
  </si>
  <si>
    <t>G.</t>
  </si>
  <si>
    <t>B.</t>
  </si>
  <si>
    <t>CASH BALANCE</t>
  </si>
  <si>
    <t>C.</t>
  </si>
  <si>
    <t>AUDIT SERVICES</t>
  </si>
  <si>
    <t>D.</t>
  </si>
  <si>
    <t>CAPITAL ACQUISITIONS</t>
  </si>
  <si>
    <t>Areas of Identification</t>
  </si>
  <si>
    <t>GRADE</t>
  </si>
  <si>
    <t>K</t>
  </si>
  <si>
    <t xml:space="preserve"> 1. Quantitative Reasoning</t>
  </si>
  <si>
    <t xml:space="preserve"> 2. Verbal Reasoning</t>
  </si>
  <si>
    <t xml:space="preserve"> 3. Non-Verbal Reasoning</t>
  </si>
  <si>
    <t>REVENUE</t>
  </si>
  <si>
    <t>FEDERAL PROJECTS</t>
  </si>
  <si>
    <t>1220 IDEA, Part B</t>
  </si>
  <si>
    <t>1230 Johnson-O'Malley</t>
  </si>
  <si>
    <t>1250 AEA - Adult Education</t>
  </si>
  <si>
    <t>STATE PROJECTS</t>
  </si>
  <si>
    <t>1400 Vocational Education</t>
  </si>
  <si>
    <t>1430 Chemical Abuse Prevention Programs</t>
  </si>
  <si>
    <t>1435 Academic Contests</t>
  </si>
  <si>
    <t>25.</t>
  </si>
  <si>
    <t>26.</t>
  </si>
  <si>
    <t>27.</t>
  </si>
  <si>
    <t>1460 Environmental Special Plate</t>
  </si>
  <si>
    <t>28.</t>
  </si>
  <si>
    <t>29.</t>
  </si>
  <si>
    <t>30.</t>
  </si>
  <si>
    <t>31.</t>
  </si>
  <si>
    <t>EXPENSES</t>
  </si>
  <si>
    <t>9-12</t>
  </si>
  <si>
    <t>32.</t>
  </si>
  <si>
    <t>33.</t>
  </si>
  <si>
    <t>E.</t>
  </si>
  <si>
    <t>K-8</t>
  </si>
  <si>
    <t>BEGINNING</t>
  </si>
  <si>
    <t>BALANCE</t>
  </si>
  <si>
    <t>CAPITAL</t>
  </si>
  <si>
    <t>ACQUISITIONS</t>
  </si>
  <si>
    <t>ENDING</t>
  </si>
  <si>
    <t>INDIRECT</t>
  </si>
  <si>
    <t>COSTS</t>
  </si>
  <si>
    <t>REVERSIONS</t>
  </si>
  <si>
    <t xml:space="preserve">    1420  Transportation Fees from Other Arizona Schools or Districts</t>
  </si>
  <si>
    <t xml:space="preserve">    1500  Earnings on Investments</t>
  </si>
  <si>
    <t xml:space="preserve">    Other Revenue from Local Sources (specify)</t>
  </si>
  <si>
    <t xml:space="preserve">    Other Revenue from Intermediate Sources (specify)</t>
  </si>
  <si>
    <t xml:space="preserve">    3110  State Equalization Assistance</t>
  </si>
  <si>
    <t xml:space="preserve">    Other Revenue from State Sources (specify)</t>
  </si>
  <si>
    <t xml:space="preserve">    4900 Revenue for/on Behalf of the School</t>
  </si>
  <si>
    <t xml:space="preserve">    Other Revenue from Federal Sources (specify)</t>
  </si>
  <si>
    <t>CURRENT EXPENSES BY CATEGORY</t>
  </si>
  <si>
    <t>1290 Medicaid Reimbursement</t>
  </si>
  <si>
    <t>1300 Charter School Implementation Project (Stimulus)</t>
  </si>
  <si>
    <t>1410 Early Childhood Block Grant</t>
  </si>
  <si>
    <t>1470-1499 Other State Projects</t>
  </si>
  <si>
    <t>1465 Charter School Stimulus Fund</t>
  </si>
  <si>
    <t>Expenses</t>
  </si>
  <si>
    <t>1.  Non-Federal</t>
  </si>
  <si>
    <t>2.  Federal</t>
  </si>
  <si>
    <t>SUPPLEMENTARY INFORMATION (Cont’d)</t>
  </si>
  <si>
    <t>34.</t>
  </si>
  <si>
    <t>STATE OF ARIZONA</t>
  </si>
  <si>
    <t>SIGNED</t>
  </si>
  <si>
    <t>CHARTER SCHOOL ANNUAL FINANCIAL REPORT</t>
  </si>
  <si>
    <t xml:space="preserve">contain(s) the data for the annual financial report </t>
  </si>
  <si>
    <t>described at left.</t>
  </si>
  <si>
    <t>1000 Schoolwide Project</t>
  </si>
  <si>
    <t xml:space="preserve">       2900 Other Support Services</t>
  </si>
  <si>
    <t xml:space="preserve">     Subtotal (lines 16-26)</t>
  </si>
  <si>
    <t>FEDERAL AND STATE PROJECTS</t>
  </si>
  <si>
    <t xml:space="preserve">        2900 Other Support Services</t>
  </si>
  <si>
    <t>Remedial Education</t>
  </si>
  <si>
    <t>Career Education</t>
  </si>
  <si>
    <t>610 School-Sponsored Cocurricular Activities</t>
  </si>
  <si>
    <t>620 School-Sponsored Athletics</t>
  </si>
  <si>
    <t>630, 700, 800, 900 Other Programs</t>
  </si>
  <si>
    <t>3.     Total (lines 1 and 2)</t>
  </si>
  <si>
    <t xml:space="preserve"> 4.    Total Duplicated Enrollment</t>
  </si>
  <si>
    <t xml:space="preserve">   Total</t>
  </si>
  <si>
    <t>Charter Name</t>
  </si>
  <si>
    <t>d.b.a. (as applicable)</t>
  </si>
  <si>
    <t>CTDS NUMBER</t>
  </si>
  <si>
    <t>1310-1399 Other Federal Projects</t>
  </si>
  <si>
    <t>35.</t>
  </si>
  <si>
    <t xml:space="preserve">  COUNTY</t>
  </si>
  <si>
    <t xml:space="preserve">Employee </t>
  </si>
  <si>
    <t>Totals</t>
  </si>
  <si>
    <t>Salaries</t>
  </si>
  <si>
    <t>Benefits</t>
  </si>
  <si>
    <t>Classroom Site Project 1011 - Base Salary</t>
  </si>
  <si>
    <t>2100 Support Services - Students</t>
  </si>
  <si>
    <t>Program 100 Subtotal (lines 1-3)</t>
  </si>
  <si>
    <t>Program 200 Subtotal (lines 5-7)</t>
  </si>
  <si>
    <t>Other Programs Subtotal (lines 9-11)</t>
  </si>
  <si>
    <t>Total Expenses (lines 4, 8, and 12)</t>
  </si>
  <si>
    <t>Classroom Site Project 1012 - Performance Pay</t>
  </si>
  <si>
    <t>Program 100 Subtotal (lines 14-16)</t>
  </si>
  <si>
    <t>Program 200 Subtotal (lines 18-20)</t>
  </si>
  <si>
    <t>Other Programs Subtotal (lines 22-24)</t>
  </si>
  <si>
    <t>Total Expenses (lines 17, 21, and 25)</t>
  </si>
  <si>
    <t>Purchased Services 6300, 6400, 6500</t>
  </si>
  <si>
    <t>Employee Benefits</t>
  </si>
  <si>
    <t>Supplies</t>
  </si>
  <si>
    <t>Classroom Site Project 1013 - Other</t>
  </si>
  <si>
    <t>2000 Support Services</t>
  </si>
  <si>
    <t>Budget</t>
  </si>
  <si>
    <t>Actual</t>
  </si>
  <si>
    <t>Other Programs (Specify)</t>
  </si>
  <si>
    <t xml:space="preserve">   ____________________</t>
  </si>
  <si>
    <t>1160 ESEA  Title IV - 21st Century Schools</t>
  </si>
  <si>
    <t>1170-1180 ESEA Title V - Promote Informed Parent Choice</t>
  </si>
  <si>
    <t>1190 ESEA  Title III - Limited Eng. &amp; Immigrant Students</t>
  </si>
  <si>
    <t>1200 ESEA Title VII - Indian Education</t>
  </si>
  <si>
    <t>1210 ESEA Title VI - Flexibility and Accountability</t>
  </si>
  <si>
    <t>1260-1270 Vocational Education - Basic Grants</t>
  </si>
  <si>
    <t>1420 Extended School Year - Pupils with Disabilities</t>
  </si>
  <si>
    <t>Interest Earned</t>
  </si>
  <si>
    <t>Additional Classroom Site Project Information</t>
  </si>
  <si>
    <t>Revenues</t>
  </si>
  <si>
    <t>Classroom Site Project</t>
  </si>
  <si>
    <t>Pay</t>
  </si>
  <si>
    <t>TOTAL EXPENSES BY PROJECT</t>
  </si>
  <si>
    <t>CSP Allocation</t>
  </si>
  <si>
    <t>Vocational and Technological Education</t>
  </si>
  <si>
    <t>1240 Workforce Investment Act</t>
  </si>
  <si>
    <t>36.</t>
  </si>
  <si>
    <t>F.</t>
  </si>
  <si>
    <t>Other Programs Subtotal (lines 10-11)</t>
  </si>
  <si>
    <t>Total Expenses (lines 4, 8, 9, and 12)</t>
  </si>
  <si>
    <t>Instructional Improvement Project 1020</t>
  </si>
  <si>
    <t>Beginning Project Balance</t>
  </si>
  <si>
    <t>Instruction</t>
  </si>
  <si>
    <t>Services</t>
  </si>
  <si>
    <t>Support</t>
  </si>
  <si>
    <t>Teacher Compensation Increases</t>
  </si>
  <si>
    <t>Class Size Reduction</t>
  </si>
  <si>
    <t>Total Available (lines 6 and 7)</t>
  </si>
  <si>
    <t>Ending Project Balance  (line 8 minus line 9)</t>
  </si>
  <si>
    <t>Instructional Improvement Project (from page 5, line 5)</t>
  </si>
  <si>
    <t>37.</t>
  </si>
  <si>
    <t>1280 ESEA Title X - Homeless Education</t>
  </si>
  <si>
    <t>Purchased</t>
  </si>
  <si>
    <t xml:space="preserve">Employee  </t>
  </si>
  <si>
    <t>Other</t>
  </si>
  <si>
    <t>1000 Instruction</t>
  </si>
  <si>
    <t>2100 Students</t>
  </si>
  <si>
    <t>2300 General Administration</t>
  </si>
  <si>
    <t>2400 School Administration</t>
  </si>
  <si>
    <t>Additional Instructional Improvement Project Information</t>
  </si>
  <si>
    <t>Total Classroom Site Projects (line 13 &amp; p. 3, lines 13 &amp; 26)</t>
  </si>
  <si>
    <t>Total Revenues (lines 16 and 17)</t>
  </si>
  <si>
    <t>Total Available (lines 15 and 18)</t>
  </si>
  <si>
    <t>A. ENROLLMENT OF GIFTED PUPILS BY GRADE</t>
  </si>
  <si>
    <t>Classroom Site Project (from page 4, line 14)</t>
  </si>
  <si>
    <t xml:space="preserve">    2100  Unrestricted</t>
  </si>
  <si>
    <t xml:space="preserve">    2200  Restricted</t>
  </si>
  <si>
    <t xml:space="preserve">    3900  Revenue for/on Behalf of the School</t>
  </si>
  <si>
    <t xml:space="preserve">    3130-3150  Other Unrestricted</t>
  </si>
  <si>
    <t xml:space="preserve">    3200  Restricted</t>
  </si>
  <si>
    <t xml:space="preserve">    4100, 4300  Unrestricted/Restricted Received Directly from the Federal Government</t>
  </si>
  <si>
    <t xml:space="preserve">    4200, 4500  Unrestricted/Restricted Received from the Federal Government through the State</t>
  </si>
  <si>
    <t>Employee</t>
  </si>
  <si>
    <t xml:space="preserve">Ending Project Balance (line 19 minus line 20) </t>
  </si>
  <si>
    <t xml:space="preserve">    1410  Transportation Fees from Individuals</t>
  </si>
  <si>
    <t>2.  Classroom Supplies</t>
  </si>
  <si>
    <t>3.  Administration</t>
  </si>
  <si>
    <t>4.  Support Services - Students</t>
  </si>
  <si>
    <t>6.     Total (lines 1-5)</t>
  </si>
  <si>
    <t>Number of Full-Time Equivalent Certified Teachers</t>
  </si>
  <si>
    <t>Number of Full-Time Equivalent Noncertified Teachers</t>
  </si>
  <si>
    <t>Number of Full-Time Equivalent Contract Teachers</t>
  </si>
  <si>
    <t xml:space="preserve"> (Function 1000)</t>
  </si>
  <si>
    <t>Cocurr. Act., Athletics, &amp; Other (Program 600)</t>
  </si>
  <si>
    <t>Compensatory Instruction Project - 1072</t>
  </si>
  <si>
    <t xml:space="preserve">    Subtotal (lines 1-14)</t>
  </si>
  <si>
    <t>38.</t>
  </si>
  <si>
    <t>ELL Incremental Costs</t>
  </si>
  <si>
    <t>ELL Compensatory Instruction</t>
  </si>
  <si>
    <t>1425 Adult Basic Education</t>
  </si>
  <si>
    <t xml:space="preserve">       2100 Students </t>
  </si>
  <si>
    <t xml:space="preserve">       2200 Instruction </t>
  </si>
  <si>
    <t xml:space="preserve">       2500 Central Services</t>
  </si>
  <si>
    <t xml:space="preserve">        2200 Instruction </t>
  </si>
  <si>
    <t xml:space="preserve">        2500 Central Services</t>
  </si>
  <si>
    <t>540 Joint Career &amp; Technical Ed. &amp; Vocational Ed. Center</t>
  </si>
  <si>
    <t>2200 Support Services - Instruction</t>
  </si>
  <si>
    <t>2200 Instruction</t>
  </si>
  <si>
    <t>2500 Central Services</t>
  </si>
  <si>
    <t>Structured English Immersion Project - 1071</t>
  </si>
  <si>
    <t>430 Pupil Transportation-ELL Incremental Costs</t>
  </si>
  <si>
    <t>1.  0191  Land and Land Improvements</t>
  </si>
  <si>
    <t>2.  0192  Site Improvements</t>
  </si>
  <si>
    <t>3.  0194  Buildings and Building Improvements</t>
  </si>
  <si>
    <t>4.  0196  Equipment</t>
  </si>
  <si>
    <t>5.  0198  Construction in Progress</t>
  </si>
  <si>
    <t>1450 Gifted Education</t>
  </si>
  <si>
    <t xml:space="preserve">    1700  School Activities</t>
  </si>
  <si>
    <t xml:space="preserve">    4800 Federal Impact Aid</t>
  </si>
  <si>
    <t xml:space="preserve">2100, 2200 Support Services - Students &amp; Instruction </t>
  </si>
  <si>
    <t>Textbooks (Function 1000, Object Code 6642)</t>
  </si>
  <si>
    <t>1.  Classroom Instruction excluding Classroom Supplies</t>
  </si>
  <si>
    <t xml:space="preserve">    2000 Support Services</t>
  </si>
  <si>
    <t xml:space="preserve">        2100 Students </t>
  </si>
  <si>
    <t>5.  All Other Support Services and Operations</t>
  </si>
  <si>
    <t>Actual Expenses for all Gifted Programs:</t>
  </si>
  <si>
    <t>% Increase/ Decrease in Actual</t>
  </si>
  <si>
    <t>PROGRAM 200 ACTUAL</t>
  </si>
  <si>
    <t>E-mail</t>
  </si>
  <si>
    <t xml:space="preserve">     2000 Support Services</t>
  </si>
  <si>
    <t>2700 Student Transportation</t>
  </si>
  <si>
    <t>Tuition Expense (paid to other Arizona schools or districts)</t>
  </si>
  <si>
    <t>PROGRAM 200 BUDGET</t>
  </si>
  <si>
    <t>3200 Restricted Revenue from State Sources</t>
  </si>
  <si>
    <t>Total Revenues (lines 1 and 2)</t>
  </si>
  <si>
    <t>1500 Earnings on Investments</t>
  </si>
  <si>
    <t>Ending</t>
  </si>
  <si>
    <t>Project</t>
  </si>
  <si>
    <t>Balance</t>
  </si>
  <si>
    <t>Total  Expenses</t>
  </si>
  <si>
    <t>Program 260 Subtotal (lines 4-11)</t>
  </si>
  <si>
    <t>435 Pupil Trans.-ELL Compensatory Instruction</t>
  </si>
  <si>
    <t>Revenues and Expenses</t>
  </si>
  <si>
    <t>260 Special Education-ELL Incremental Costs</t>
  </si>
  <si>
    <t>265 Special Education-ELL Compensatory Instruction</t>
  </si>
  <si>
    <t>Prior Year</t>
  </si>
  <si>
    <t>Beginning</t>
  </si>
  <si>
    <t xml:space="preserve">    4700 Revenue Received from the Federal Government through Other Intermediate Agencies</t>
  </si>
  <si>
    <t>Structured English Immersion Project (from page 6, line 14)</t>
  </si>
  <si>
    <t>Compensatory Instruction Project (from page 6, line 28 )</t>
  </si>
  <si>
    <t>Program 265 Subtotal (lines 18-25)</t>
  </si>
  <si>
    <t>Total Revenues (lines 15 and 16)</t>
  </si>
  <si>
    <t xml:space="preserve">Program 200 Budget and Program 200 Actual column totals should equal line 27 on page 2. </t>
  </si>
  <si>
    <t>Expenses (line 5 above)</t>
  </si>
  <si>
    <t>Teachers</t>
  </si>
  <si>
    <t>Certified</t>
  </si>
  <si>
    <t>(Object 6112)</t>
  </si>
  <si>
    <t>(Object 6152)</t>
  </si>
  <si>
    <t>Noncertified</t>
  </si>
  <si>
    <t>Substitutes</t>
  </si>
  <si>
    <t>(Object 6113)</t>
  </si>
  <si>
    <t>(Object 6153)</t>
  </si>
  <si>
    <t>Contract</t>
  </si>
  <si>
    <t>(Object 6325)</t>
  </si>
  <si>
    <t xml:space="preserve">       2600 Operation &amp; Maintenance of Plant </t>
  </si>
  <si>
    <t xml:space="preserve">    4000 Facilities Acquisition &amp; Construction</t>
  </si>
  <si>
    <t xml:space="preserve">        2600 Operation &amp; Maintenance of Plant </t>
  </si>
  <si>
    <t xml:space="preserve">     4000 Facilities Acquisition &amp; Construction </t>
  </si>
  <si>
    <t>Total Inst. Imp. Expenses (lines 1-4, should equal line 9 below)</t>
  </si>
  <si>
    <t xml:space="preserve">2600 Operation &amp; Maintenance of Plant </t>
  </si>
  <si>
    <t>2900 Other Support Services</t>
  </si>
  <si>
    <t>6.     Total Capital Acquisitions (lines 1-5)</t>
  </si>
  <si>
    <t>1100-1130 ESEA Title I - Helping Disadvantaged Children</t>
  </si>
  <si>
    <t>1140-1150 ESEA Title II  - Prof. Dev. And Technology</t>
  </si>
  <si>
    <t>Dropout Prevention Programs</t>
  </si>
  <si>
    <t>Instructional Improvement Programs</t>
  </si>
  <si>
    <t>Programs 100-600</t>
  </si>
  <si>
    <t xml:space="preserve">Purchased </t>
  </si>
  <si>
    <t>Tuition Expense (except payments to other Arizona schools or districts)</t>
  </si>
  <si>
    <t>ADDITIONAL INFORMATION FOR NATIONAL PUBLIC EDUCATION FINANCIAL SURVEY REPORTING</t>
  </si>
  <si>
    <t>Projects (1000-1999)</t>
  </si>
  <si>
    <t>Fees</t>
  </si>
  <si>
    <t>Dues and</t>
  </si>
  <si>
    <t>3000 Operation of Noninstructional Services</t>
  </si>
  <si>
    <t>4000 Facilities Acquisition &amp; Construction</t>
  </si>
  <si>
    <t xml:space="preserve">      2100 Students</t>
  </si>
  <si>
    <t xml:space="preserve">      2200 Instruction</t>
  </si>
  <si>
    <t xml:space="preserve">      2300 General Administration</t>
  </si>
  <si>
    <t xml:space="preserve">      2400 School Administration</t>
  </si>
  <si>
    <t xml:space="preserve">      2500, 2900 Central Services, Other Support Services </t>
  </si>
  <si>
    <t xml:space="preserve">      2600 Operation &amp; Maintenance of Plant</t>
  </si>
  <si>
    <t xml:space="preserve">      2700 Student Transportation</t>
  </si>
  <si>
    <t xml:space="preserve">      3100 Food Service Operations</t>
  </si>
  <si>
    <t xml:space="preserve">      3400 Bookstore Operations</t>
  </si>
  <si>
    <t>Miscellaneous</t>
  </si>
  <si>
    <t>6300, 6400,</t>
  </si>
  <si>
    <t>Debt Service</t>
  </si>
  <si>
    <t>All Programs</t>
  </si>
  <si>
    <t>Total (lines 1-11)</t>
  </si>
  <si>
    <t>Property</t>
  </si>
  <si>
    <t>Disbursements</t>
  </si>
  <si>
    <t>All Expense</t>
  </si>
  <si>
    <t>Object Codes</t>
  </si>
  <si>
    <t xml:space="preserve">Property </t>
  </si>
  <si>
    <t>6700 and 6900)</t>
  </si>
  <si>
    <t>(Excluding</t>
  </si>
  <si>
    <t xml:space="preserve">        (lines 1-3)</t>
  </si>
  <si>
    <t>1011 - Base Salary</t>
  </si>
  <si>
    <t>1012 - Performance</t>
  </si>
  <si>
    <t>1013 - Other</t>
  </si>
  <si>
    <t>Property Disbursements by Type</t>
  </si>
  <si>
    <t>Expenses (line 13 &amp; p. 3, lines 13 &amp; 26)</t>
  </si>
  <si>
    <t xml:space="preserve">    1320  Tuition from Other Arizona Schools or Districts</t>
  </si>
  <si>
    <t xml:space="preserve">    1310  Tuition from Individuals</t>
  </si>
  <si>
    <t>550 K-3 Reading</t>
  </si>
  <si>
    <t>Page</t>
  </si>
  <si>
    <t>Reference</t>
  </si>
  <si>
    <t>General</t>
  </si>
  <si>
    <t>Cover</t>
  </si>
  <si>
    <t>Name, County, CTDS Number</t>
  </si>
  <si>
    <t>The school name, county, and CTDS number should be entered on the cover page of the AFR. The CTDS number should not contain any slashes, dashes, etc., and must be exactly nine digits. Zeros should be entered to fill the School portion of the number on the cover page. This information will be automatically transferred to other sheets in the file.</t>
  </si>
  <si>
    <t xml:space="preserve">Report all revenues received by the school on this page.  </t>
  </si>
  <si>
    <t>Classroom Instruction excluding Classroom Supplies includes current expenses coded to Function 1000 less Function 1000, Object Code 6600.  Do not include expenses coded to Program Codes 700, 800, and 900.</t>
  </si>
  <si>
    <t>Classroom Supplies includes current expenses coded to Function 1000, Object Code 6600.  Do not include expenses coded to Program Codes 700, 800, and 900.</t>
  </si>
  <si>
    <t>Administration includes current expenses coded to Functions 2300, 2400, 2500, and 2900.  Do not include expenses coded to Program Codes 700, 800, and 900.</t>
  </si>
  <si>
    <t>All Other Support Services and Operations includes current expenses coded to Functions 2200, 2600, 2700, 3100, and 3400.  Do not include expenses coded to Program Codes 700, 800, and 900.</t>
  </si>
  <si>
    <t>Vocational Education includes expenses coded to Programs 270 and 540.</t>
  </si>
  <si>
    <t>Other Programs includes expenses coded to Programs 260, 265, and 530.</t>
  </si>
  <si>
    <t>Enter the amounts of expenses for special education programs by type.  Supporting documentation should be retained for the allocation of expenses to individual special education programs.</t>
  </si>
  <si>
    <t>Federal and State Projects</t>
  </si>
  <si>
    <t>Property Disbursements</t>
  </si>
  <si>
    <t>Debt Service amounts should include interest and redemption of principal for all Programs.  Interest should be expenses charged to object code 6850.  Redemption of Principal should include payments made during the year for principal on capital leases and other long-term debt that were recorded as a reduction of the related liability.</t>
  </si>
  <si>
    <t xml:space="preserve">Amounts for indirect costs, expenses, capital acquisitions, and ending balance should agree with the school's completion reports filed with the ADE Grants Management Office.  </t>
  </si>
  <si>
    <t>Property Disbursements should include actual payments made during the year for capital acquisitions, not including related capital lease or other debt service payments.  Property Disbursements for nonfixed (movable) equipment in Programs 100 through 600 should be allocated to Functions 1000 through 4000 based on the intended use of the equipment.  All other Property Disbursements for these Programs should be included in Function 4000.</t>
  </si>
  <si>
    <t>Other Programs</t>
  </si>
  <si>
    <t xml:space="preserve">Vocational Education </t>
  </si>
  <si>
    <t>Special Education</t>
  </si>
  <si>
    <t xml:space="preserve">Regular Education </t>
  </si>
  <si>
    <t xml:space="preserve">TEACHER SALARIES </t>
  </si>
  <si>
    <t>Gifted Education</t>
  </si>
  <si>
    <t xml:space="preserve">Program 200 Totals
</t>
  </si>
  <si>
    <r>
      <t>Support Services</t>
    </r>
    <r>
      <rPr>
        <sz val="10"/>
        <rFont val="Calibri"/>
        <family val="2"/>
      </rPr>
      <t>—</t>
    </r>
    <r>
      <rPr>
        <sz val="10"/>
        <rFont val="Times New Roman"/>
        <family val="1"/>
      </rPr>
      <t>Students includes current expenses coded to Function 2100.  Do not include expenses coded to Program Codes 700, 800, and 900.</t>
    </r>
  </si>
  <si>
    <t xml:space="preserve">Regular Education includes expenses coded to Program 100,  career education programs coded to Program 200, and K-3 Reading expenses coded to Program 550.  </t>
  </si>
  <si>
    <t xml:space="preserve">The AFR presents condensed financial activity (i.e., beginning and ending balances, revenues and expenses, and budget to actual comparisons of expenses for the fiscal year) of the charter school for comparison purposes. This information assists sponsors, school governing boards, administrators, ADE, legislators, other governmental agencies, and taxpayers in determining whether charter schools are meeting their stewardship responsibilities.
</t>
  </si>
  <si>
    <t>Cocurricular Activities, Athletics, and Other includes expenses coded to Program 600.</t>
  </si>
  <si>
    <t xml:space="preserve">These instructions are provided to help schools prepare the Charter School Annual Financial Report (AFR). Within the forms, blue font indicates that an instruction is linked to that specific line. An instructions button has also been provided that links to any general instructions or to the first instruction for a page. </t>
  </si>
  <si>
    <t>C. SPECIAL EDUCATION PROGRAMS BY TYPE</t>
  </si>
  <si>
    <t xml:space="preserve">B. EXPENSES FOR GIFTED PUPILS </t>
  </si>
  <si>
    <t xml:space="preserve">Sections B and C— 
Total Gifted Expenses  
</t>
  </si>
  <si>
    <t>Total Actual Gifted Expenses in Sections B and C must agree.</t>
  </si>
  <si>
    <t>Section C— Special Ed. Programs by Type</t>
  </si>
  <si>
    <t>Charter School Official Signature</t>
  </si>
  <si>
    <t>TOTAL REVENUE FROM ALL SOURCES (lines 9, 13, 19, and 26)</t>
  </si>
  <si>
    <r>
      <t xml:space="preserve">      </t>
    </r>
    <r>
      <rPr>
        <sz val="10"/>
        <rFont val="Times New Roman"/>
        <family val="1"/>
      </rPr>
      <t>Subtotal (lines 1-8)</t>
    </r>
  </si>
  <si>
    <t xml:space="preserve">      Subtotal (lines 10-12)</t>
  </si>
  <si>
    <t xml:space="preserve">      Subtotal (lines 14-18)</t>
  </si>
  <si>
    <t xml:space="preserve">      Subtotal (lines 20-25)</t>
  </si>
  <si>
    <t>13__ Impact Aid</t>
  </si>
  <si>
    <t xml:space="preserve">     Total Federal Projects (lines 1-17)</t>
  </si>
  <si>
    <t>Impact Aid and Other Federal Projects, Lines 16 and 17</t>
  </si>
  <si>
    <t xml:space="preserve">(Excluding 6810,   </t>
  </si>
  <si>
    <t>6850 and 6890)</t>
  </si>
  <si>
    <t>6800</t>
  </si>
  <si>
    <t>3200  Restricted,
Line 16</t>
  </si>
  <si>
    <t>4100, 4300  Unrestricted/Restricted Received Directly from the Federal Government, 
Line 20</t>
  </si>
  <si>
    <t>Property Disbursements for Buildings should include only disbursements for the purchase of existing buildings.  All disbursements for construction services for buildings and building improvements (whether or not construction is in progress at year-end) should be included on the Construction line. Total property disbursements in this table should equal the sum of property disbursements in the two preceding tables above. If no disbursements were made during the year, enter a 0 value in each line.</t>
  </si>
  <si>
    <t>The school should report all amounts to the nearest dollar.  Information should not be entered in the shaded areas or protected cells. Formulas should not be changed and applicable footnotes and instructions should be followed to ensure uploaded files will pass all validation checks.</t>
  </si>
  <si>
    <t>Do not include Federal Impact Aid revenues received on this line. These revenues should be reported on Line 23 as 4800 Federal Impact Aid.</t>
  </si>
  <si>
    <t xml:space="preserve">Amounts reported for programs 610, 620, and 630 on page 2, should be included within the amounts reported for programs 100-600 here. </t>
  </si>
  <si>
    <t>(ELEMENTARY &amp; SECONDARY)</t>
  </si>
  <si>
    <t xml:space="preserve">    1600  Food Service (from Food Service AFR, line 2)</t>
  </si>
  <si>
    <t>Charter School Official (Typed Name)</t>
  </si>
  <si>
    <t>1. Program 700 - Adult/Continuing Education Programs</t>
  </si>
  <si>
    <t>2. Program 800 - Community College Education Programs</t>
  </si>
  <si>
    <t>3. Program 900 - Community Services Program</t>
  </si>
  <si>
    <t>4. Function 3300 - Community Services Operations (all Programs)</t>
  </si>
  <si>
    <t xml:space="preserve">      1. Land and Land Improvements</t>
  </si>
  <si>
    <t xml:space="preserve">      2. Buildings</t>
  </si>
  <si>
    <t xml:space="preserve">      3. Equipment</t>
  </si>
  <si>
    <t xml:space="preserve">      4. Construction</t>
  </si>
  <si>
    <t xml:space="preserve">      1. Interest 6850</t>
  </si>
  <si>
    <t xml:space="preserve">      2. Redemption of Principal</t>
  </si>
  <si>
    <t xml:space="preserve">     1. 6410 Utility Services</t>
  </si>
  <si>
    <t>Technology Detail</t>
  </si>
  <si>
    <t>Utilities and Energy Services</t>
  </si>
  <si>
    <t>Long-term and Short-term Debt</t>
  </si>
  <si>
    <t>Utilities and Energy Detail (Only Function 2600)</t>
  </si>
  <si>
    <t>Technology (All Functions)</t>
  </si>
  <si>
    <t xml:space="preserve">     2. 6621-6626 Energy</t>
  </si>
  <si>
    <r>
      <t xml:space="preserve">Report expenses for utility services coded to object code 6410, such as water and sewage services, and energy expenses, such as electricity, gas, coal, and gasoline coded to object codes 6621-6626. Services received from public or private utility companies should be reported here. Do </t>
    </r>
    <r>
      <rPr>
        <b/>
        <u val="single"/>
        <sz val="10"/>
        <rFont val="Times New Roman"/>
        <family val="1"/>
      </rPr>
      <t>not</t>
    </r>
    <r>
      <rPr>
        <sz val="10"/>
        <rFont val="Times New Roman"/>
        <family val="1"/>
      </rPr>
      <t xml:space="preserve"> include expenses for telephone or internet services.</t>
    </r>
  </si>
  <si>
    <t xml:space="preserve">     2. Technology-related hardware &amp; software</t>
  </si>
  <si>
    <t xml:space="preserve">     1. Technology-related supplies &amp; purchased services</t>
  </si>
  <si>
    <t xml:space="preserve">1600 Food Service, Line 6 </t>
  </si>
  <si>
    <t>Report all revenues received from dispensing food to students and adults. If the school participates in the National School Lunch Program and completed the Food Service AFR as required, this amount will populate from Revenues, line 2 on the Food Service AFR. If the school did not collect any revenue from students or adults for food service, enter a 0 value on the line.</t>
  </si>
  <si>
    <t>Expenses, Lines 1-36</t>
  </si>
  <si>
    <t>Federal and State Projects, Line 37</t>
  </si>
  <si>
    <t>Enter Impact Aid amounts on Line 16 and all Other Federal Projects (less Impact Aid) on Line 17.</t>
  </si>
  <si>
    <t>Section C— Total All Disability Classifications</t>
  </si>
  <si>
    <t>Enter total expenses for the disability classifications defined in A.R.S. §15-761.</t>
  </si>
  <si>
    <t>1. Schoolwide (from page 2, line 32)</t>
  </si>
  <si>
    <t>2. Classroom Site Project (from page 2, line 33)</t>
  </si>
  <si>
    <t xml:space="preserve">     Subtotal (lines 15 and 27-31)</t>
  </si>
  <si>
    <t xml:space="preserve">     Total (lines 32-37)</t>
  </si>
  <si>
    <t>Total (lines 12 and 13)</t>
  </si>
  <si>
    <t>Total (lines 26 and 27)</t>
  </si>
  <si>
    <t>Total (lines 1-7)</t>
  </si>
  <si>
    <t>Total All Disability Classifications</t>
  </si>
  <si>
    <t>Section B— 
Audit Services</t>
  </si>
  <si>
    <t>Section C— 
Capital Acquisitions</t>
  </si>
  <si>
    <t>Section C— 
Capital Acquisitions,  
Line 5</t>
  </si>
  <si>
    <t>Section D— Investment in Capital Assets</t>
  </si>
  <si>
    <t>Section D— 
Investment in Capital Assets,  
Line 5</t>
  </si>
  <si>
    <t>Section E— Current Expenses by Category</t>
  </si>
  <si>
    <t>Section E— 
Current Expenses by Category,  
Line 1</t>
  </si>
  <si>
    <t>Section E— 
Current Expenses by Category,  
Line 2</t>
  </si>
  <si>
    <t>Section E— 
Current Expenses by Category,  
Line 3</t>
  </si>
  <si>
    <t>Section E— 
Current Expenses by Category,  
Line 4</t>
  </si>
  <si>
    <t>Section E— 
Current Expenses by Category,  
Line 5</t>
  </si>
  <si>
    <t>Section G— Teacher Salaries</t>
  </si>
  <si>
    <t>Section G— 
Teachers Salaries,  
Line 1</t>
  </si>
  <si>
    <t>Section G— 
Teachers Salaries,  
Line 2</t>
  </si>
  <si>
    <t>Section G— 
Teachers Salaries,  
Line 3</t>
  </si>
  <si>
    <t>Section G— 
Teachers Salaries,  
Line 4</t>
  </si>
  <si>
    <t>Section G— 
Teachers Salaries,  
Line 5</t>
  </si>
  <si>
    <r>
      <t>A.R.S. §15-255 requires the Superintendent of Public Instruction's Annual Report to include total current expenses per pupil and separate per pupil amounts by (1) classroom instruction excluding classroom supplies, (2) classroom supplies, (3) administration, (4) support services</t>
    </r>
    <r>
      <rPr>
        <sz val="10"/>
        <rFont val="Calibri"/>
        <family val="2"/>
      </rPr>
      <t>—</t>
    </r>
    <r>
      <rPr>
        <sz val="10"/>
        <rFont val="Times New Roman"/>
        <family val="1"/>
      </rPr>
      <t>students, and (5) all other support services and operations. ADE will calculate the "per pupil" amounts based on the total current expenses reported on lines 1 through 5 of this section. 
Current expenses required to be reported include expenses from all projects for elementary and secondary education.  Current expenses do not include outlays for facilities acquisition and construction, furniture, equipment, technology, vehicles, debt retirement, and expenses for nonpublic school programs (e.g., adult/continuing education, community college education, community services, etc.).</t>
    </r>
  </si>
  <si>
    <t xml:space="preserve">     1. Sinking funds</t>
  </si>
  <si>
    <t xml:space="preserve">     2. Bond funds</t>
  </si>
  <si>
    <t xml:space="preserve">     3. Other funds, except for any employee retirement funds</t>
  </si>
  <si>
    <t>Cash and Investments held at fiscal year end</t>
  </si>
  <si>
    <r>
      <t xml:space="preserve">Long-term Debt—Report beginning and ending balances for all bonded indebtedness and any other interest-bearing debt with a term of more than one year on lines 1 and 4, respectively. Include bonds, notes and loans. Report all long-term debt issued during the fiscal year on line 2. Report all principal payments made on long-term debt during the fiscal year on line 3.
Short-term Debt—Report beginning and ending balances for interest-bearing debt with a term of one year or less such as bank revolving lines of credit and other short-term debt. Schools with short-term debt activity but no beginning and ending balances should report 0 on lines 5 and 6.
</t>
    </r>
    <r>
      <rPr>
        <b/>
        <sz val="10"/>
        <rFont val="Times New Roman"/>
        <family val="1"/>
      </rPr>
      <t>DO NOT INCLUDE</t>
    </r>
    <r>
      <rPr>
        <sz val="10"/>
        <rFont val="Times New Roman"/>
        <family val="1"/>
      </rPr>
      <t xml:space="preserve"> lease purchase agreements, compensated absences, accounts payable, and other noninterest bearing obligations in amounts reported in this section.
This section was added to the AFR to assist with Form 33 reporting to NCES.</t>
    </r>
  </si>
  <si>
    <t>Education's website on</t>
  </si>
  <si>
    <r>
      <t>Section F</t>
    </r>
    <r>
      <rPr>
        <sz val="10"/>
        <rFont val="Calibri"/>
        <family val="2"/>
      </rPr>
      <t>—</t>
    </r>
    <r>
      <rPr>
        <sz val="10"/>
        <rFont val="Times New Roman"/>
        <family val="1"/>
      </rPr>
      <t>Number of 
Full-Time Equivalent Teachers</t>
    </r>
  </si>
  <si>
    <r>
      <t xml:space="preserve">Schools should report ending balance amounts of cash and investments (at market value) for the following funds:
     </t>
    </r>
    <r>
      <rPr>
        <b/>
        <sz val="10"/>
        <rFont val="Times New Roman"/>
        <family val="1"/>
      </rPr>
      <t xml:space="preserve">Sinking funds </t>
    </r>
    <r>
      <rPr>
        <sz val="10"/>
        <rFont val="Times New Roman"/>
        <family val="1"/>
      </rPr>
      <t xml:space="preserve">— funds containing reserves held specifically for redemption of long-term debt.
   </t>
    </r>
    <r>
      <rPr>
        <b/>
        <sz val="10"/>
        <rFont val="Times New Roman"/>
        <family val="1"/>
      </rPr>
      <t xml:space="preserve">  Bond funds </t>
    </r>
    <r>
      <rPr>
        <sz val="10"/>
        <rFont val="Times New Roman"/>
        <family val="1"/>
      </rPr>
      <t xml:space="preserve">— funds containing unexpended proceeds of bond issues that were being held pending their
     disbursement.                                       
     </t>
    </r>
    <r>
      <rPr>
        <b/>
        <sz val="10"/>
        <rFont val="Times New Roman"/>
        <family val="1"/>
      </rPr>
      <t xml:space="preserve">Other funds </t>
    </r>
    <r>
      <rPr>
        <sz val="10"/>
        <rFont val="Times New Roman"/>
        <family val="1"/>
      </rPr>
      <t xml:space="preserve">— all other funds, </t>
    </r>
    <r>
      <rPr>
        <b/>
        <sz val="10"/>
        <rFont val="Times New Roman"/>
        <family val="1"/>
      </rPr>
      <t>exclude</t>
    </r>
    <r>
      <rPr>
        <sz val="10"/>
        <rFont val="Times New Roman"/>
        <family val="1"/>
      </rPr>
      <t xml:space="preserve"> any employee retirement funds.
Include cash balances; cash on hand; certificates of deposit; federal securities; state and local government securities; mortgages; and corporate stocks, bonds, and notes. </t>
    </r>
    <r>
      <rPr>
        <b/>
        <sz val="10"/>
        <rFont val="Times New Roman"/>
        <family val="1"/>
      </rPr>
      <t>Exclude</t>
    </r>
    <r>
      <rPr>
        <sz val="10"/>
        <rFont val="Times New Roman"/>
        <family val="1"/>
      </rPr>
      <t xml:space="preserve"> accounts receivable, value of real property, and all nonsecurity assets.
This section was added to the AFR to assist with Form 33 reporting to NCES.
 </t>
    </r>
  </si>
  <si>
    <t xml:space="preserve">Special Education includes expenses coded to Program 200 (excluding ELL incremental costs, and compensatory instruction, vocational and technological education, and career education programs).  </t>
  </si>
  <si>
    <t>FY 2018</t>
  </si>
  <si>
    <t xml:space="preserve">The annual financial report file(s) for FY 2018 uploaded to the Arizona Department of </t>
  </si>
  <si>
    <t>INVESTMENT IN CAPITAL ASSETS AS OF JUNE 30, 2018</t>
  </si>
  <si>
    <t>1456 College Credit Exam Incentives</t>
  </si>
  <si>
    <t xml:space="preserve">     Total State Projects (lines 19-30)</t>
  </si>
  <si>
    <t xml:space="preserve">     Total Federal and State Projects (lines 18 and 31)</t>
  </si>
  <si>
    <t>Cash and Investments held at June 30, 2018</t>
  </si>
  <si>
    <t xml:space="preserve">     1. Long-term Debt Outstanding, July 1, 2017</t>
  </si>
  <si>
    <t xml:space="preserve">     2. Long-term Debt issued during FY 2018</t>
  </si>
  <si>
    <t xml:space="preserve">     3. Long-term Debt retired during FY 2018</t>
  </si>
  <si>
    <t xml:space="preserve">     4. Long-term Debt Outstanding, June 30, 2018</t>
  </si>
  <si>
    <t xml:space="preserve">     5. Short-term Debt Outstanding, July 1, 2017</t>
  </si>
  <si>
    <t xml:space="preserve">     6. Short-term Debt Outstanding, June 30, 2018</t>
  </si>
  <si>
    <t xml:space="preserve">Do not include expenses of project codes 1100 through 1499 with other schoolwide project expenses on lines 1 through 36.
Do not include payments for capital acquisitions or depreciation expense.  </t>
  </si>
  <si>
    <t>The total of budget and actual federal and state project expenses (project codes 1100 through 1499 on page 9) should be included on line 37.  The total of budgeted and actual expenses on line 37 should agree with the total of federal and state project expenses on line 32 of page 9.</t>
  </si>
  <si>
    <r>
      <t xml:space="preserve">Record amounts expended in FY 2018 for audit services. 
Non-federal audit expense incurred in FY 2018 may be included on the budget work sheets for FY 2020 for reimbursement pursuant to A.R.S. </t>
    </r>
    <r>
      <rPr>
        <sz val="10"/>
        <rFont val="Calibri"/>
        <family val="2"/>
      </rPr>
      <t>§</t>
    </r>
    <r>
      <rPr>
        <sz val="10"/>
        <rFont val="Times New Roman"/>
        <family val="1"/>
      </rPr>
      <t xml:space="preserve">15-914.  In order to receive reimbursement in FY 2020, non-federal audit expenses must be included in the FY 2018 AFR.  Amounts reported must be amounts actually spent in FY 2018.  </t>
    </r>
    <r>
      <rPr>
        <b/>
        <sz val="10"/>
        <rFont val="Times New Roman"/>
        <family val="1"/>
      </rPr>
      <t>Do not include the costs of consulting or other services paid to audit firms in the non-federal or federal audit services actual expenses.</t>
    </r>
  </si>
  <si>
    <t>Enter the total increase in capital assets, by asset classification, recorded in the general ledger and on the capital assets list for the year ended June 30, 2018.  These amounts represent only the acquisitions made during the year costing $5,000 or more and, for equipment, having useful lives of 1 year or more. If no acquisitions were made during the year, enter a 0 value in each line.
Note:  If the school's policy is to include land, buildings, and related improvements; site improvements; or equipment costing less than $5,000 on the capital assets list, these items should also be included.</t>
  </si>
  <si>
    <t xml:space="preserve">Enter the total increase in construction in progress for the year ended June 30, 2018.  This amount is not recorded on the capital assets list until the project is completed.  Therefore, it will not appear on the capital assets list as of June 30, 2018.
</t>
  </si>
  <si>
    <t>Enter the total cost, by asset classification, recorded in the general ledger and on the capital assets list as of June 30, 2018, for items costing $5,000 or more and, for equipment, having useful lives of 1 year or more.  These amounts represent the ending balances in the capital assets accounts and should not include depreciation.
Note:  If the school's policy is to include land, buildings, and related improvements; site improvements; or equipment costing less than $5,000 on the capital assets list, these items should also be included.  The sum of lines 1, 2, 3, and 4 should agree with the amount recorded on the school's capital assets list as of June 30, 2018.</t>
  </si>
  <si>
    <t>Enter the total cost of construction in progress as of June 30, 2018.  This amount is not recorded on the capital assets list as of June 30, 2018.</t>
  </si>
  <si>
    <t>Report base salaries, overtime, and additional compensation paid to certified and noncertified teachers, certified and noncertified substitute teachers, and contract teachers.  Do not include salaries paid to instructional aides or assistants.  Report the salaries based on the appropriate program.  If a teacher teaches in more than one program, calculate the salary based on the amount of time instructing in each program. If FTE amounts were reported for certified, noncertified, or contract teachers in Section F, corresponding salary amounts should be reported in Section G.</t>
  </si>
  <si>
    <t>Federal and State Projects, Line 32</t>
  </si>
  <si>
    <t>The total budget and actual expenses on line 32 should agree with the total column for federal and state projects on line 37 of page 2.</t>
  </si>
  <si>
    <t xml:space="preserve">H. </t>
  </si>
  <si>
    <t>Federal and State Projects (from page 9, line 32)</t>
  </si>
  <si>
    <t>1457 Results-Based Funding</t>
  </si>
  <si>
    <t>8. Current Expenses from State and Local Projects, including those projects intended to replace local tax revenues (e.g., most Impact Aid Projects)</t>
  </si>
  <si>
    <t>7. Current Expenses from Federal Projects, excluding those projects intended to replace local tax revenues (e.g., most Impact Aid Projects)</t>
  </si>
  <si>
    <r>
      <t xml:space="preserve">FY 2018 ADDITIONAL TEACHER SALARY INCREASE (LAWS 2017, Ch. 305, </t>
    </r>
    <r>
      <rPr>
        <sz val="10"/>
        <rFont val="Calibri"/>
        <family val="2"/>
      </rPr>
      <t>§</t>
    </r>
    <r>
      <rPr>
        <sz val="10"/>
        <rFont val="Times New Roman"/>
        <family val="1"/>
      </rPr>
      <t>33)</t>
    </r>
  </si>
  <si>
    <t>Section H— 
FY 2018 Additional Teacher Salary Increase, Line 1</t>
  </si>
  <si>
    <t>Section H— 
FY 2018 Additional Teacher Salary Increase, Line 2</t>
  </si>
  <si>
    <t>Section H— 
FY 2018 Additional Teacher Salary Increase, Line 3</t>
  </si>
  <si>
    <t xml:space="preserve">Total FY 17 salary amount of eligible teachers that received 1.06% salary increase </t>
  </si>
  <si>
    <t>Funding received to pay eligible teachers for the 1.06% salary increase in FY 18</t>
  </si>
  <si>
    <t>Actual amount paid to eligible teachers for the 1.06% salary increase in FY 18</t>
  </si>
  <si>
    <t>All actual revenues, expenses, and account balances presented on the AFR must agree with the school’s accounting records as of June 30, 2018. Revenue and expense account codes used in the AFR agree with the Uniform System of Financial Records for Arizona Charter Schools (USFRCS) Chart of Accounts. Expense budget amounts should be taken from the school's most recently revised or adopted budget, which has been submitted to ADE, for FY 2018.            
Revenues must include cash receipts through June 30, 2018, and accrued revenues received after the end of the fiscal year. Examples of accrued revenues are cost reimbursement and entitlement programs, interest earned on investments, and FY 2018 classroom site project revenues.         
Expenses consist of all expenses incurred during the fiscal year, including expenses for goods and services received on or before June 30, 2018, but not paid for by that date. Examples of items requiring such treatment are included in the USFRCS, pages VI-G-8 and 9.</t>
  </si>
  <si>
    <r>
      <t xml:space="preserve">Report expenses for technology-related supplies coded to object code 6650, technology-related hardware and software costs below the capitalization threshold, and technology-related purchased services on line 1. For technology-related supplies, include expenses for supplies that are typically used in conjunction with technology-related hardware or software (e.g., compact discs, flash drives, cables, and monitor stands). Technology-related hardware and software costs that exceed the capitalization threshold should be reported on line 2. Do </t>
    </r>
    <r>
      <rPr>
        <b/>
        <u val="single"/>
        <sz val="10"/>
        <rFont val="Times New Roman"/>
        <family val="1"/>
      </rPr>
      <t>not</t>
    </r>
    <r>
      <rPr>
        <sz val="10"/>
        <rFont val="Times New Roman"/>
        <family val="1"/>
      </rPr>
      <t xml:space="preserve"> include expenses for nontechnology-related equipment such as machinery, vehicles, and furniture.</t>
    </r>
  </si>
  <si>
    <t>We, the Governing Board of the Charter School, hereby certify the Annual Financial Report for Fiscal Year 2018</t>
  </si>
  <si>
    <t xml:space="preserve">Revenues received in the Classroom Site Project, Instructional Improvement Project, Structured English Immersion Project and Compensatory Instruction Project should be reported as Restricted. If you are not following the USFRCS Chart of Accounts, please report these Projects as 3200 Restricted for federal survey purposes. 
See the USFRCS Chart of Accounts for more information on Project, Function, and Object Codes and Descriptions. http://www.azauditor.gov/sites/default/files/USFRCS.pdf
</t>
  </si>
  <si>
    <r>
      <t xml:space="preserve">The information included on this page will be used by ADE to complete the National Public Education Financial Survey (NPEFS) and Form 33 issued by the National Center for Education Statistics. </t>
    </r>
    <r>
      <rPr>
        <b/>
        <u val="single"/>
        <sz val="10"/>
        <rFont val="Times New Roman"/>
        <family val="1"/>
      </rPr>
      <t>NPEFS data is required to be submitted by all schools</t>
    </r>
    <r>
      <rPr>
        <sz val="10"/>
        <rFont val="Times New Roman"/>
        <family val="1"/>
      </rPr>
      <t xml:space="preserve"> and is used to calculate a state per pupil expenditure amount that is used in the formula for allocating a number of federal program funds to states and local education agencies, including Title I, Impact Aid, and Indian Education. Other programs use state per pupil expenditure data indirectly because their allocation formulas are based, in whole, or in part, on state Title I allocations. The NPEFS and Form 33 data is also used by researchers and government policymakers to address important education policy and research issues.
Report all amounts from Projects 1000 through 1999 on this page.
See the USFRCS Chart of Accounts for more information on Project, Function, and Object Codes and Descriptions http://www.azauditor.gov/sites/default/files/USFRCS.pdf</t>
    </r>
  </si>
  <si>
    <t>An alert will appear on the cover page when commonly missed areas of the AFR are not completed. The alert will disappear as the related areas of the AFR are completed. Schools should complete all areas of the AFR that apply to their school operations, whether or not the item is listed in the alert. These alerts do not replace the need for a separate school employee to review the AFR for accuracy and completeness.</t>
  </si>
  <si>
    <t xml:space="preserve">Report the number of full-time equivalent (FTE) certified, noncertified, and contract teachers on lines 1-3, respectively. These amounts may include fractional FTE for part-time teachers. A teacher should only be reported on one line. If a teacher is both a certified and contract teacher, only report the applicable FTE on line 3. Do not include instructional aides or assistants. </t>
  </si>
  <si>
    <t>Enter the total amount of funding received from ADE to pay eligible teachers for the intended 1.06% salary increase in FY 2018.</t>
  </si>
  <si>
    <t>Enter the total amount paid to eligible teachers for the intended 1.06% salary increase in FY 2018.</t>
  </si>
  <si>
    <t>Enter the actual FY 2017 total salary amount, including base salaries, Classroom Site Project Performance Pay, overtime, and additional compensation, of all teachers that received payments for the intended 1.06% salary increase.</t>
  </si>
  <si>
    <t>Difference (line 2 minus line 3)</t>
  </si>
  <si>
    <t>Section E— 
Current Expenses by Source,  
Lines 7 and 8</t>
  </si>
  <si>
    <t>The Every Student Succeeds Act (ESSA) requires current expenses to be reported by source. Report the portion of current expenses from line 6 that were paid from federal projects, excluding current expenses paid from federal projects intended to replace local tax revenues (e.g., Impact Aid) on line 7. If no expenses were paid from federal projects, enter a 0 value on line 7. Line 8 contains a formula to calculate the current expenses from state and local projects.</t>
  </si>
  <si>
    <t>NORTH STAR CHARTER SCHOOL, INC.</t>
  </si>
  <si>
    <t>MARICOPA</t>
  </si>
  <si>
    <t>078945000</t>
  </si>
  <si>
    <t>KURT HUZAR</t>
  </si>
  <si>
    <t>huzarcpa@aol.com</t>
  </si>
  <si>
    <t>RENTAL INCOME</t>
  </si>
  <si>
    <t>DAVID TIERNEY</t>
  </si>
  <si>
    <t>davet@northstaraz.com</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</si>
</sst>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0_);\(0\)"/>
    <numFmt numFmtId="166" formatCode="0.0"/>
    <numFmt numFmtId="167" formatCode="0."/>
    <numFmt numFmtId="168" formatCode="0.0%"/>
    <numFmt numFmtId="169" formatCode="m/d"/>
    <numFmt numFmtId="170" formatCode="0_)"/>
    <numFmt numFmtId="171" formatCode="0.0%;[Red]\-0.0%"/>
    <numFmt numFmtId="172" formatCode="General;[Red]\-General"/>
    <numFmt numFmtId="173" formatCode="#,##0.000_);\(#,##0.000\)"/>
    <numFmt numFmtId="174" formatCode="#,##0.0_);\(#,##0.0\)"/>
    <numFmt numFmtId="175" formatCode="0.00_);\(0.00\)"/>
    <numFmt numFmtId="176" formatCode="#,##0.000"/>
    <numFmt numFmtId="177" formatCode="&quot;$&quot;#,##0"/>
    <numFmt numFmtId="178" formatCode="#,##0.0000_);[Red]\(#,##0.0000\)"/>
    <numFmt numFmtId="179" formatCode="#,##0.000_);[Red]\(#,##0.000\)"/>
    <numFmt numFmtId="180" formatCode="0.0000"/>
    <numFmt numFmtId="181" formatCode="#,##0.0"/>
    <numFmt numFmtId="182" formatCode="#,##0.0000_);\(#,##0.0000\)"/>
    <numFmt numFmtId="183" formatCode="#,##0.0000"/>
    <numFmt numFmtId="184" formatCode="\(0E+00\);\(\-0E+00\)"/>
    <numFmt numFmtId="185" formatCode="0.00_);[Red]\(0.00\)"/>
    <numFmt numFmtId="186" formatCode="_([$$-409]* #,##0.00_);_([$$-409]* \(#,##0.00\);_([$$-409]* &quot;-&quot;??_);_(@_)"/>
    <numFmt numFmtId="187" formatCode="&quot;$&quot;#,##0.00"/>
    <numFmt numFmtId="188" formatCode="_(&quot;$&quot;* #,##0_);_(&quot;$&quot;* \(#,##0\);_(&quot;$&quot;* &quot;-&quot;??_);_(@_)"/>
    <numFmt numFmtId="189" formatCode="_(* #,##0_);_(* \(#,##0\);_(* &quot;-&quot;??_);_(@_)"/>
    <numFmt numFmtId="190" formatCode="&quot;Yes&quot;;&quot;Yes&quot;;&quot;No&quot;"/>
    <numFmt numFmtId="191" formatCode="&quot;True&quot;;&quot;True&quot;;&quot;False&quot;"/>
    <numFmt numFmtId="192" formatCode="&quot;On&quot;;&quot;On&quot;;&quot;Off&quot;"/>
    <numFmt numFmtId="193" formatCode="[$€-2]\ #,##0.00_);[Red]\([$€-2]\ #,##0.00\)"/>
  </numFmts>
  <fonts count="63">
    <font>
      <sz val="10"/>
      <name val="Times New Roman"/>
      <family val="0"/>
    </font>
    <font>
      <b/>
      <sz val="10"/>
      <name val="Times New Roman"/>
      <family val="1"/>
    </font>
    <font>
      <b/>
      <sz val="9"/>
      <name val="Times New Roman"/>
      <family val="1"/>
    </font>
    <font>
      <sz val="9"/>
      <name val="Times New Roman"/>
      <family val="1"/>
    </font>
    <font>
      <b/>
      <sz val="10"/>
      <name val="Arial"/>
      <family val="2"/>
    </font>
    <font>
      <sz val="10"/>
      <name val="Arial"/>
      <family val="2"/>
    </font>
    <font>
      <u val="single"/>
      <sz val="9"/>
      <color indexed="36"/>
      <name val="Arial"/>
      <family val="2"/>
    </font>
    <font>
      <u val="single"/>
      <sz val="9"/>
      <color indexed="12"/>
      <name val="Arial"/>
      <family val="2"/>
    </font>
    <font>
      <sz val="10"/>
      <color indexed="8"/>
      <name val="Times New Roman"/>
      <family val="1"/>
    </font>
    <font>
      <sz val="10"/>
      <color indexed="9"/>
      <name val="Times New Roman"/>
      <family val="1"/>
    </font>
    <font>
      <b/>
      <sz val="14"/>
      <name val="Times New Roman"/>
      <family val="1"/>
    </font>
    <font>
      <b/>
      <sz val="12"/>
      <name val="Times New Roman"/>
      <family val="1"/>
    </font>
    <font>
      <sz val="10"/>
      <name val="Calibri"/>
      <family val="2"/>
    </font>
    <font>
      <sz val="10"/>
      <color indexed="12"/>
      <name val="Times New Roman"/>
      <family val="1"/>
    </font>
    <font>
      <b/>
      <u val="single"/>
      <sz val="10"/>
      <name val="Times New Roman"/>
      <family val="1"/>
    </font>
    <font>
      <sz val="8"/>
      <name val="Times New Roman"/>
      <family val="1"/>
    </font>
    <font>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0"/>
      <color indexed="12"/>
      <name val="Times New Roman"/>
      <family val="1"/>
    </font>
    <font>
      <b/>
      <sz val="10"/>
      <color indexed="12"/>
      <name val="Times New Roman"/>
      <family val="1"/>
    </font>
    <font>
      <u val="single"/>
      <sz val="10"/>
      <color indexed="12"/>
      <name val="Times New Roman"/>
      <family val="1"/>
    </font>
    <font>
      <b/>
      <sz val="10"/>
      <color indexed="8"/>
      <name val="Times New Roman"/>
      <family val="1"/>
    </font>
    <font>
      <sz val="12"/>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b/>
      <u val="single"/>
      <sz val="10"/>
      <color rgb="FF0000FF"/>
      <name val="Times New Roman"/>
      <family val="1"/>
    </font>
    <font>
      <b/>
      <sz val="10"/>
      <color rgb="FF0000FF"/>
      <name val="Times New Roman"/>
      <family val="1"/>
    </font>
    <font>
      <sz val="10"/>
      <color rgb="FF0000FF"/>
      <name val="Times New Roman"/>
      <family val="1"/>
    </font>
    <font>
      <u val="single"/>
      <sz val="9"/>
      <color rgb="FF0000FF"/>
      <name val="Arial"/>
      <family val="2"/>
    </font>
    <font>
      <u val="single"/>
      <sz val="10"/>
      <color rgb="FF0000FF"/>
      <name val="Times New Roman"/>
      <family val="1"/>
    </font>
    <font>
      <b/>
      <sz val="10"/>
      <color theme="1"/>
      <name val="Times New Roman"/>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rgb="FFCCFFFF"/>
        <bgColor indexed="64"/>
      </patternFill>
    </fill>
    <fill>
      <patternFill patternType="solid">
        <fgColor rgb="FFCCFFFF"/>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style="thin"/>
      <right style="thin"/>
      <top style="thin"/>
      <bottom style="thin"/>
    </border>
    <border>
      <left style="thin"/>
      <right style="thin"/>
      <top style="thin"/>
      <bottom>
        <color indexed="63"/>
      </bottom>
    </border>
    <border>
      <left style="thin"/>
      <right style="thin"/>
      <top style="medium"/>
      <bottom style="double"/>
    </border>
    <border>
      <left style="thin"/>
      <right style="thin"/>
      <top style="thin"/>
      <bottom style="medium"/>
    </border>
    <border>
      <left style="thin"/>
      <right style="thin"/>
      <top>
        <color indexed="63"/>
      </top>
      <bottom style="double"/>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color indexed="63"/>
      </left>
      <right>
        <color indexed="63"/>
      </right>
      <top>
        <color indexed="63"/>
      </top>
      <bottom style="double"/>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style="thin"/>
      <bottom style="double"/>
    </border>
    <border>
      <left style="thin"/>
      <right style="thin"/>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6"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7"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5"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698">
    <xf numFmtId="0" fontId="0" fillId="0" borderId="0" xfId="0" applyAlignment="1">
      <alignment/>
    </xf>
    <xf numFmtId="0" fontId="1" fillId="0" borderId="0" xfId="0" applyFont="1" applyAlignment="1">
      <alignment/>
    </xf>
    <xf numFmtId="0" fontId="0" fillId="0" borderId="0" xfId="0" applyFont="1" applyBorder="1" applyAlignment="1">
      <alignment/>
    </xf>
    <xf numFmtId="0" fontId="0" fillId="0" borderId="0" xfId="0" applyFont="1" applyAlignment="1">
      <alignment/>
    </xf>
    <xf numFmtId="0" fontId="1" fillId="0" borderId="0" xfId="0" applyFont="1" applyAlignment="1">
      <alignment horizontal="right"/>
    </xf>
    <xf numFmtId="0" fontId="1" fillId="0" borderId="0" xfId="0" applyFont="1" applyBorder="1" applyAlignment="1">
      <alignment/>
    </xf>
    <xf numFmtId="0" fontId="1" fillId="0" borderId="0" xfId="0" applyFont="1" applyAlignment="1">
      <alignment horizontal="centerContinuous"/>
    </xf>
    <xf numFmtId="0" fontId="0" fillId="0" borderId="0" xfId="0" applyFont="1" applyAlignment="1">
      <alignment horizontal="centerContinuous"/>
    </xf>
    <xf numFmtId="0" fontId="0" fillId="0" borderId="10" xfId="0" applyFont="1" applyBorder="1" applyAlignment="1">
      <alignment/>
    </xf>
    <xf numFmtId="0" fontId="0" fillId="0" borderId="0" xfId="0" applyFont="1" applyAlignment="1">
      <alignment horizontal="center"/>
    </xf>
    <xf numFmtId="0" fontId="0" fillId="0" borderId="0" xfId="0" applyFont="1" applyAlignment="1">
      <alignment horizontal="right"/>
    </xf>
    <xf numFmtId="0" fontId="0" fillId="0" borderId="10" xfId="0" applyFont="1" applyBorder="1" applyAlignment="1">
      <alignment horizontal="center"/>
    </xf>
    <xf numFmtId="0" fontId="0" fillId="0" borderId="0" xfId="0" applyFont="1" applyBorder="1" applyAlignment="1">
      <alignment horizontal="centerContinuous"/>
    </xf>
    <xf numFmtId="37" fontId="0" fillId="0" borderId="10" xfId="0" applyNumberFormat="1" applyFont="1" applyBorder="1" applyAlignment="1" applyProtection="1">
      <alignment/>
      <protection locked="0"/>
    </xf>
    <xf numFmtId="37" fontId="0" fillId="0" borderId="11" xfId="0" applyNumberFormat="1" applyFont="1" applyBorder="1" applyAlignment="1" applyProtection="1">
      <alignment/>
      <protection locked="0"/>
    </xf>
    <xf numFmtId="37" fontId="0" fillId="0" borderId="12" xfId="0" applyNumberFormat="1" applyFont="1" applyBorder="1" applyAlignment="1">
      <alignment/>
    </xf>
    <xf numFmtId="0" fontId="0" fillId="0" borderId="0" xfId="0" applyFont="1" applyBorder="1" applyAlignment="1">
      <alignment horizontal="right"/>
    </xf>
    <xf numFmtId="37" fontId="0" fillId="0" borderId="13" xfId="0" applyNumberFormat="1" applyFont="1" applyBorder="1" applyAlignment="1" applyProtection="1">
      <alignment/>
      <protection locked="0"/>
    </xf>
    <xf numFmtId="37" fontId="0" fillId="0" borderId="14" xfId="0" applyNumberFormat="1" applyFont="1" applyBorder="1" applyAlignment="1" applyProtection="1">
      <alignment/>
      <protection locked="0"/>
    </xf>
    <xf numFmtId="37" fontId="0" fillId="0" borderId="15" xfId="0" applyNumberFormat="1" applyFont="1" applyBorder="1" applyAlignment="1">
      <alignment/>
    </xf>
    <xf numFmtId="0" fontId="0" fillId="0" borderId="0" xfId="0" applyFont="1" applyBorder="1" applyAlignment="1">
      <alignment/>
    </xf>
    <xf numFmtId="0" fontId="0" fillId="0" borderId="13" xfId="0" applyFont="1" applyBorder="1" applyAlignment="1">
      <alignment horizontal="center"/>
    </xf>
    <xf numFmtId="0" fontId="0" fillId="0" borderId="0" xfId="0" applyFont="1" applyBorder="1" applyAlignment="1">
      <alignment horizontal="center"/>
    </xf>
    <xf numFmtId="37" fontId="0" fillId="0" borderId="13" xfId="0" applyNumberFormat="1" applyFont="1" applyBorder="1" applyAlignment="1">
      <alignment/>
    </xf>
    <xf numFmtId="49" fontId="0" fillId="0" borderId="0" xfId="0" applyNumberFormat="1" applyFont="1" applyAlignment="1">
      <alignment/>
    </xf>
    <xf numFmtId="37" fontId="0" fillId="0" borderId="16" xfId="0" applyNumberFormat="1" applyFont="1" applyBorder="1" applyAlignment="1" applyProtection="1">
      <alignment/>
      <protection locked="0"/>
    </xf>
    <xf numFmtId="37" fontId="0" fillId="0" borderId="16" xfId="0" applyNumberFormat="1" applyFont="1" applyBorder="1" applyAlignment="1">
      <alignment/>
    </xf>
    <xf numFmtId="49" fontId="0" fillId="0" borderId="0" xfId="0" applyNumberFormat="1" applyFont="1" applyBorder="1" applyAlignment="1">
      <alignment/>
    </xf>
    <xf numFmtId="37" fontId="0" fillId="0" borderId="17" xfId="0" applyNumberFormat="1" applyFont="1" applyBorder="1" applyAlignment="1">
      <alignment/>
    </xf>
    <xf numFmtId="0" fontId="0" fillId="0" borderId="14" xfId="0" applyFont="1" applyBorder="1" applyAlignment="1">
      <alignment horizontal="center"/>
    </xf>
    <xf numFmtId="0" fontId="0" fillId="0" borderId="18" xfId="0" applyFont="1" applyBorder="1" applyAlignment="1">
      <alignment horizontal="center"/>
    </xf>
    <xf numFmtId="0" fontId="0" fillId="0" borderId="19" xfId="0" applyFont="1" applyBorder="1" applyAlignment="1">
      <alignment horizontal="center"/>
    </xf>
    <xf numFmtId="0" fontId="0" fillId="0" borderId="20" xfId="0" applyFont="1" applyBorder="1" applyAlignment="1">
      <alignment horizontal="center"/>
    </xf>
    <xf numFmtId="37" fontId="0" fillId="33" borderId="13" xfId="0" applyNumberFormat="1" applyFont="1" applyFill="1" applyBorder="1" applyAlignment="1">
      <alignment/>
    </xf>
    <xf numFmtId="37" fontId="0" fillId="33" borderId="14" xfId="0" applyNumberFormat="1" applyFont="1" applyFill="1" applyBorder="1" applyAlignment="1">
      <alignment/>
    </xf>
    <xf numFmtId="0" fontId="0" fillId="0" borderId="0" xfId="0" applyFont="1" applyAlignment="1">
      <alignment horizontal="left"/>
    </xf>
    <xf numFmtId="0" fontId="0" fillId="0" borderId="0" xfId="0" applyFont="1" applyBorder="1" applyAlignment="1" applyProtection="1">
      <alignment/>
      <protection/>
    </xf>
    <xf numFmtId="0" fontId="1" fillId="0" borderId="13" xfId="0" applyFont="1" applyBorder="1" applyAlignment="1">
      <alignment horizontal="center"/>
    </xf>
    <xf numFmtId="0" fontId="3" fillId="0" borderId="0" xfId="0" applyFont="1" applyBorder="1" applyAlignment="1" applyProtection="1">
      <alignment horizontal="centerContinuous"/>
      <protection/>
    </xf>
    <xf numFmtId="0" fontId="3" fillId="0" borderId="0" xfId="0" applyFont="1" applyBorder="1" applyAlignment="1" applyProtection="1">
      <alignment/>
      <protection/>
    </xf>
    <xf numFmtId="0" fontId="2" fillId="0" borderId="0" xfId="0" applyFont="1" applyBorder="1" applyAlignment="1" applyProtection="1">
      <alignment horizontal="center"/>
      <protection/>
    </xf>
    <xf numFmtId="3" fontId="3" fillId="0" borderId="0" xfId="0" applyNumberFormat="1" applyFont="1" applyBorder="1" applyAlignment="1" applyProtection="1">
      <alignment/>
      <protection/>
    </xf>
    <xf numFmtId="37" fontId="0" fillId="0" borderId="0" xfId="0" applyNumberFormat="1" applyFont="1" applyBorder="1" applyAlignment="1">
      <alignment/>
    </xf>
    <xf numFmtId="37" fontId="0" fillId="0" borderId="13" xfId="0" applyNumberFormat="1" applyFont="1" applyBorder="1" applyAlignment="1" applyProtection="1">
      <alignment/>
      <protection/>
    </xf>
    <xf numFmtId="37" fontId="0" fillId="0" borderId="21" xfId="0" applyNumberFormat="1" applyFont="1" applyBorder="1" applyAlignment="1">
      <alignment/>
    </xf>
    <xf numFmtId="0" fontId="1" fillId="0" borderId="0" xfId="0" applyFont="1" applyFill="1" applyAlignment="1">
      <alignment horizontal="centerContinuous"/>
    </xf>
    <xf numFmtId="0" fontId="0" fillId="0" borderId="0" xfId="0" applyFont="1" applyFill="1" applyAlignment="1">
      <alignment horizontal="centerContinuous"/>
    </xf>
    <xf numFmtId="0" fontId="0" fillId="0" borderId="0" xfId="0" applyFont="1" applyFill="1" applyAlignment="1">
      <alignment/>
    </xf>
    <xf numFmtId="0" fontId="0" fillId="0" borderId="0" xfId="0" applyFont="1" applyFill="1" applyAlignment="1">
      <alignment horizontal="right"/>
    </xf>
    <xf numFmtId="0" fontId="0" fillId="0" borderId="0" xfId="0" applyBorder="1" applyAlignment="1" applyProtection="1">
      <alignment/>
      <protection/>
    </xf>
    <xf numFmtId="0" fontId="0" fillId="0" borderId="0" xfId="0" applyBorder="1" applyAlignment="1" applyProtection="1">
      <alignment/>
      <protection/>
    </xf>
    <xf numFmtId="49" fontId="0" fillId="0" borderId="10" xfId="0" applyNumberFormat="1" applyBorder="1" applyAlignment="1" applyProtection="1">
      <alignment horizontal="center"/>
      <protection locked="0"/>
    </xf>
    <xf numFmtId="0" fontId="0" fillId="0" borderId="0" xfId="0" applyAlignment="1" applyProtection="1">
      <alignment/>
      <protection/>
    </xf>
    <xf numFmtId="0" fontId="0" fillId="0" borderId="0" xfId="0" applyAlignment="1" applyProtection="1">
      <alignment/>
      <protection/>
    </xf>
    <xf numFmtId="0" fontId="0" fillId="0" borderId="0" xfId="0" applyAlignment="1" applyProtection="1">
      <alignment horizontal="centerContinuous"/>
      <protection/>
    </xf>
    <xf numFmtId="0" fontId="0" fillId="0" borderId="22" xfId="0" applyBorder="1" applyAlignment="1" applyProtection="1">
      <alignment/>
      <protection/>
    </xf>
    <xf numFmtId="0" fontId="0" fillId="0" borderId="22" xfId="0" applyBorder="1" applyAlignment="1" applyProtection="1">
      <alignment horizontal="centerContinuous"/>
      <protection/>
    </xf>
    <xf numFmtId="0" fontId="0" fillId="0" borderId="22" xfId="0" applyBorder="1" applyAlignment="1" applyProtection="1">
      <alignment/>
      <protection/>
    </xf>
    <xf numFmtId="0" fontId="0" fillId="0" borderId="0" xfId="0" applyBorder="1" applyAlignment="1" applyProtection="1">
      <alignment horizontal="center"/>
      <protection/>
    </xf>
    <xf numFmtId="0" fontId="0" fillId="0" borderId="0" xfId="0" applyBorder="1" applyAlignment="1" applyProtection="1">
      <alignment horizontal="centerContinuous"/>
      <protection/>
    </xf>
    <xf numFmtId="0" fontId="0" fillId="0" borderId="0" xfId="0" applyAlignment="1" applyProtection="1">
      <alignment horizontal="justify" vertical="top" wrapText="1"/>
      <protection/>
    </xf>
    <xf numFmtId="0" fontId="0" fillId="0" borderId="0" xfId="0" applyBorder="1" applyAlignment="1">
      <alignment/>
    </xf>
    <xf numFmtId="0" fontId="0" fillId="0" borderId="22" xfId="0" applyBorder="1" applyAlignment="1">
      <alignment/>
    </xf>
    <xf numFmtId="0" fontId="0" fillId="0" borderId="0" xfId="0" applyBorder="1" applyAlignment="1">
      <alignment/>
    </xf>
    <xf numFmtId="49" fontId="0" fillId="0" borderId="0" xfId="0" applyNumberFormat="1" applyBorder="1" applyAlignment="1" applyProtection="1">
      <alignment horizontal="right"/>
      <protection/>
    </xf>
    <xf numFmtId="49" fontId="0" fillId="0" borderId="0" xfId="0" applyNumberFormat="1" applyFont="1" applyAlignment="1">
      <alignment horizontal="right"/>
    </xf>
    <xf numFmtId="164" fontId="0" fillId="0" borderId="10" xfId="0" applyNumberFormat="1" applyBorder="1" applyAlignment="1" applyProtection="1">
      <alignment horizontal="center"/>
      <protection locked="0"/>
    </xf>
    <xf numFmtId="37" fontId="0" fillId="0" borderId="13" xfId="0" applyNumberFormat="1" applyFont="1" applyFill="1" applyBorder="1" applyAlignment="1" applyProtection="1">
      <alignment/>
      <protection locked="0"/>
    </xf>
    <xf numFmtId="37" fontId="0" fillId="0" borderId="16" xfId="0" applyNumberFormat="1" applyFont="1" applyFill="1" applyBorder="1" applyAlignment="1" applyProtection="1">
      <alignment/>
      <protection locked="0"/>
    </xf>
    <xf numFmtId="37" fontId="0" fillId="0" borderId="15" xfId="0" applyNumberFormat="1" applyFont="1" applyFill="1" applyBorder="1" applyAlignment="1">
      <alignment/>
    </xf>
    <xf numFmtId="0" fontId="4" fillId="0" borderId="0" xfId="0" applyFont="1" applyBorder="1" applyAlignment="1" applyProtection="1">
      <alignment horizontal="left"/>
      <protection/>
    </xf>
    <xf numFmtId="0" fontId="0" fillId="0" borderId="0" xfId="0" applyFont="1" applyAlignment="1">
      <alignment vertical="top"/>
    </xf>
    <xf numFmtId="0" fontId="0" fillId="0" borderId="0" xfId="0" applyFont="1" applyAlignment="1" quotePrefix="1">
      <alignment/>
    </xf>
    <xf numFmtId="37" fontId="0" fillId="0" borderId="15" xfId="0" applyNumberFormat="1" applyFont="1" applyFill="1" applyBorder="1" applyAlignment="1" applyProtection="1">
      <alignment/>
      <protection/>
    </xf>
    <xf numFmtId="0" fontId="0" fillId="0" borderId="0" xfId="57" applyFont="1" applyAlignment="1" applyProtection="1">
      <alignment horizontal="justify" wrapText="1"/>
      <protection/>
    </xf>
    <xf numFmtId="0" fontId="0" fillId="0" borderId="22" xfId="0" applyFont="1" applyBorder="1" applyAlignment="1">
      <alignment/>
    </xf>
    <xf numFmtId="37" fontId="0" fillId="0" borderId="20" xfId="0" applyNumberFormat="1" applyFont="1" applyBorder="1" applyAlignment="1" applyProtection="1">
      <alignment/>
      <protection locked="0"/>
    </xf>
    <xf numFmtId="37" fontId="0" fillId="0" borderId="20" xfId="0" applyNumberFormat="1" applyFont="1" applyBorder="1" applyAlignment="1" applyProtection="1">
      <alignment/>
      <protection/>
    </xf>
    <xf numFmtId="0" fontId="0" fillId="0" borderId="18" xfId="0" applyFont="1" applyBorder="1" applyAlignment="1">
      <alignment/>
    </xf>
    <xf numFmtId="0" fontId="0" fillId="0" borderId="23" xfId="0" applyFont="1" applyBorder="1" applyAlignment="1">
      <alignment/>
    </xf>
    <xf numFmtId="0" fontId="0" fillId="0" borderId="19" xfId="0" applyFont="1" applyBorder="1" applyAlignment="1">
      <alignment/>
    </xf>
    <xf numFmtId="0" fontId="1" fillId="0" borderId="24" xfId="0" applyFont="1" applyBorder="1" applyAlignment="1">
      <alignment/>
    </xf>
    <xf numFmtId="0" fontId="1" fillId="0" borderId="25" xfId="0" applyFont="1" applyBorder="1" applyAlignment="1">
      <alignment/>
    </xf>
    <xf numFmtId="0" fontId="0" fillId="0" borderId="26" xfId="0" applyFont="1" applyBorder="1" applyAlignment="1">
      <alignment/>
    </xf>
    <xf numFmtId="0" fontId="1" fillId="0" borderId="18" xfId="0" applyFont="1" applyBorder="1" applyAlignment="1">
      <alignment/>
    </xf>
    <xf numFmtId="0" fontId="0" fillId="0" borderId="24" xfId="0" applyFont="1" applyBorder="1" applyAlignment="1">
      <alignment/>
    </xf>
    <xf numFmtId="49" fontId="0" fillId="0" borderId="22" xfId="0" applyNumberFormat="1" applyFont="1" applyBorder="1" applyAlignment="1">
      <alignment horizontal="right"/>
    </xf>
    <xf numFmtId="49" fontId="0" fillId="0" borderId="0" xfId="0" applyNumberFormat="1" applyFont="1" applyAlignment="1">
      <alignment horizontal="left"/>
    </xf>
    <xf numFmtId="37" fontId="0" fillId="0" borderId="26" xfId="0" applyNumberFormat="1" applyFont="1" applyBorder="1" applyAlignment="1" applyProtection="1">
      <alignment/>
      <protection locked="0"/>
    </xf>
    <xf numFmtId="0" fontId="0" fillId="0" borderId="25" xfId="0" applyFont="1" applyBorder="1" applyAlignment="1">
      <alignment/>
    </xf>
    <xf numFmtId="49" fontId="0" fillId="0" borderId="26" xfId="0" applyNumberFormat="1" applyFont="1" applyBorder="1" applyAlignment="1">
      <alignment horizontal="right"/>
    </xf>
    <xf numFmtId="0" fontId="0" fillId="0" borderId="27" xfId="0" applyFont="1" applyBorder="1" applyAlignment="1">
      <alignment/>
    </xf>
    <xf numFmtId="0" fontId="0" fillId="0" borderId="11" xfId="0" applyFont="1" applyBorder="1" applyAlignment="1">
      <alignment/>
    </xf>
    <xf numFmtId="49" fontId="0" fillId="0" borderId="28" xfId="0" applyNumberFormat="1" applyFont="1" applyBorder="1" applyAlignment="1">
      <alignment horizontal="right"/>
    </xf>
    <xf numFmtId="37" fontId="0" fillId="34" borderId="13" xfId="0" applyNumberFormat="1" applyFont="1" applyFill="1" applyBorder="1" applyAlignment="1" applyProtection="1">
      <alignment/>
      <protection/>
    </xf>
    <xf numFmtId="37" fontId="0" fillId="0" borderId="13" xfId="0" applyNumberFormat="1" applyFont="1" applyFill="1" applyBorder="1" applyAlignment="1">
      <alignment/>
    </xf>
    <xf numFmtId="0" fontId="1" fillId="0" borderId="0" xfId="0" applyFont="1" applyBorder="1" applyAlignment="1" applyProtection="1">
      <alignment horizontal="center"/>
      <protection/>
    </xf>
    <xf numFmtId="0" fontId="1" fillId="0" borderId="0" xfId="0" applyFont="1" applyBorder="1" applyAlignment="1" applyProtection="1">
      <alignment horizontal="right"/>
      <protection/>
    </xf>
    <xf numFmtId="0" fontId="1" fillId="0" borderId="0" xfId="57" applyFont="1" applyProtection="1">
      <alignment/>
      <protection/>
    </xf>
    <xf numFmtId="0" fontId="0" fillId="0" borderId="0" xfId="57" applyFont="1" applyProtection="1">
      <alignment/>
      <protection/>
    </xf>
    <xf numFmtId="0" fontId="0" fillId="0" borderId="10" xfId="57" applyFont="1" applyBorder="1" applyAlignment="1" applyProtection="1">
      <alignment horizontal="center"/>
      <protection/>
    </xf>
    <xf numFmtId="0" fontId="0" fillId="0" borderId="0" xfId="57" applyFont="1" applyBorder="1" applyAlignment="1" applyProtection="1">
      <alignment horizontal="left"/>
      <protection/>
    </xf>
    <xf numFmtId="37" fontId="0" fillId="0" borderId="20" xfId="57" applyNumberFormat="1" applyFont="1" applyBorder="1" applyProtection="1">
      <alignment/>
      <protection/>
    </xf>
    <xf numFmtId="0" fontId="1" fillId="0" borderId="0" xfId="57" applyFont="1" applyAlignment="1" applyProtection="1">
      <alignment horizontal="right"/>
      <protection/>
    </xf>
    <xf numFmtId="0" fontId="0" fillId="0" borderId="0" xfId="57" applyFont="1" applyBorder="1" applyAlignment="1" applyProtection="1">
      <alignment horizontal="center"/>
      <protection/>
    </xf>
    <xf numFmtId="49" fontId="0" fillId="0" borderId="10" xfId="57" applyNumberFormat="1" applyFont="1" applyBorder="1" applyAlignment="1" applyProtection="1">
      <alignment horizontal="center"/>
      <protection/>
    </xf>
    <xf numFmtId="0" fontId="0" fillId="0" borderId="0" xfId="57" applyFont="1" applyBorder="1" applyAlignment="1" applyProtection="1">
      <alignment horizontal="centerContinuous"/>
      <protection/>
    </xf>
    <xf numFmtId="0" fontId="0" fillId="0" borderId="0" xfId="57" applyFont="1" applyBorder="1" applyProtection="1">
      <alignment/>
      <protection/>
    </xf>
    <xf numFmtId="0" fontId="0" fillId="0" borderId="18" xfId="57" applyFont="1" applyBorder="1" applyAlignment="1" applyProtection="1">
      <alignment horizontal="centerContinuous"/>
      <protection/>
    </xf>
    <xf numFmtId="0" fontId="0" fillId="0" borderId="23" xfId="57" applyFont="1" applyBorder="1" applyAlignment="1" applyProtection="1">
      <alignment horizontal="centerContinuous"/>
      <protection/>
    </xf>
    <xf numFmtId="0" fontId="0" fillId="0" borderId="19" xfId="57" applyFont="1" applyBorder="1" applyAlignment="1" applyProtection="1">
      <alignment horizontal="centerContinuous"/>
      <protection/>
    </xf>
    <xf numFmtId="0" fontId="0" fillId="0" borderId="14" xfId="57" applyFont="1" applyBorder="1" applyAlignment="1" applyProtection="1">
      <alignment horizontal="centerContinuous"/>
      <protection/>
    </xf>
    <xf numFmtId="0" fontId="0" fillId="0" borderId="18" xfId="57" applyFont="1" applyBorder="1" applyAlignment="1" applyProtection="1">
      <alignment horizontal="center"/>
      <protection/>
    </xf>
    <xf numFmtId="0" fontId="1" fillId="0" borderId="24" xfId="57" applyFont="1" applyFill="1" applyBorder="1" applyProtection="1">
      <alignment/>
      <protection/>
    </xf>
    <xf numFmtId="0" fontId="0" fillId="0" borderId="22" xfId="57" applyFont="1" applyBorder="1" applyProtection="1">
      <alignment/>
      <protection/>
    </xf>
    <xf numFmtId="0" fontId="0" fillId="0" borderId="29" xfId="57" applyFont="1" applyBorder="1" applyAlignment="1" applyProtection="1">
      <alignment horizontal="center"/>
      <protection/>
    </xf>
    <xf numFmtId="0" fontId="0" fillId="0" borderId="24" xfId="57" applyFont="1" applyBorder="1" applyAlignment="1" applyProtection="1">
      <alignment horizontal="center"/>
      <protection/>
    </xf>
    <xf numFmtId="0" fontId="0" fillId="0" borderId="25" xfId="57" applyFont="1" applyBorder="1" applyProtection="1">
      <alignment/>
      <protection/>
    </xf>
    <xf numFmtId="0" fontId="0" fillId="0" borderId="10" xfId="57" applyFont="1" applyBorder="1" applyProtection="1">
      <alignment/>
      <protection/>
    </xf>
    <xf numFmtId="0" fontId="0" fillId="0" borderId="26" xfId="57" applyFont="1" applyBorder="1" applyProtection="1">
      <alignment/>
      <protection/>
    </xf>
    <xf numFmtId="0" fontId="0" fillId="0" borderId="20" xfId="57" applyFont="1" applyBorder="1" applyAlignment="1" applyProtection="1">
      <alignment horizontal="center"/>
      <protection/>
    </xf>
    <xf numFmtId="0" fontId="0" fillId="0" borderId="25" xfId="57" applyFont="1" applyBorder="1" applyAlignment="1" applyProtection="1">
      <alignment horizontal="center"/>
      <protection/>
    </xf>
    <xf numFmtId="0" fontId="1" fillId="0" borderId="24" xfId="57" applyFont="1" applyBorder="1" applyProtection="1">
      <alignment/>
      <protection/>
    </xf>
    <xf numFmtId="0" fontId="0" fillId="0" borderId="24" xfId="57" applyFont="1" applyBorder="1" applyProtection="1">
      <alignment/>
      <protection/>
    </xf>
    <xf numFmtId="167" fontId="0" fillId="0" borderId="0" xfId="57" applyNumberFormat="1" applyFont="1" applyBorder="1" applyProtection="1">
      <alignment/>
      <protection/>
    </xf>
    <xf numFmtId="38" fontId="0" fillId="0" borderId="20" xfId="57" applyNumberFormat="1" applyFont="1" applyBorder="1" applyAlignment="1" applyProtection="1">
      <alignment/>
      <protection locked="0"/>
    </xf>
    <xf numFmtId="49" fontId="0" fillId="0" borderId="0" xfId="57" applyNumberFormat="1" applyFont="1" applyAlignment="1" applyProtection="1">
      <alignment horizontal="justify" wrapText="1"/>
      <protection/>
    </xf>
    <xf numFmtId="167" fontId="0" fillId="0" borderId="10" xfId="57" applyNumberFormat="1" applyFont="1" applyBorder="1" applyProtection="1">
      <alignment/>
      <protection/>
    </xf>
    <xf numFmtId="38" fontId="0" fillId="0" borderId="20" xfId="57" applyNumberFormat="1" applyFont="1" applyBorder="1" applyAlignment="1" applyProtection="1">
      <alignment/>
      <protection/>
    </xf>
    <xf numFmtId="49" fontId="0" fillId="0" borderId="0" xfId="57" applyNumberFormat="1" applyFont="1" applyProtection="1">
      <alignment/>
      <protection/>
    </xf>
    <xf numFmtId="37" fontId="0" fillId="0" borderId="13" xfId="57" applyNumberFormat="1" applyFont="1" applyFill="1" applyBorder="1" applyProtection="1">
      <alignment/>
      <protection locked="0"/>
    </xf>
    <xf numFmtId="37" fontId="0" fillId="0" borderId="13" xfId="57" applyNumberFormat="1" applyFont="1" applyBorder="1" applyProtection="1">
      <alignment/>
      <protection locked="0"/>
    </xf>
    <xf numFmtId="37" fontId="0" fillId="0" borderId="13" xfId="57" applyNumberFormat="1" applyFont="1" applyBorder="1" applyProtection="1">
      <alignment/>
      <protection/>
    </xf>
    <xf numFmtId="37" fontId="0" fillId="0" borderId="13" xfId="57" applyNumberFormat="1" applyFont="1" applyFill="1" applyBorder="1" applyProtection="1">
      <alignment/>
      <protection/>
    </xf>
    <xf numFmtId="0" fontId="0" fillId="0" borderId="0" xfId="57" applyFont="1" applyBorder="1" applyProtection="1">
      <alignment/>
      <protection locked="0"/>
    </xf>
    <xf numFmtId="167" fontId="0" fillId="0" borderId="10" xfId="57" applyNumberFormat="1" applyFont="1" applyFill="1" applyBorder="1" applyProtection="1">
      <alignment/>
      <protection/>
    </xf>
    <xf numFmtId="167" fontId="0" fillId="0" borderId="0" xfId="57" applyNumberFormat="1" applyFont="1" applyFill="1" applyBorder="1" applyProtection="1">
      <alignment/>
      <protection/>
    </xf>
    <xf numFmtId="37" fontId="0" fillId="0" borderId="20" xfId="57" applyNumberFormat="1" applyFont="1" applyBorder="1" applyAlignment="1" applyProtection="1">
      <alignment/>
      <protection locked="0"/>
    </xf>
    <xf numFmtId="37" fontId="0" fillId="0" borderId="20" xfId="57" applyNumberFormat="1" applyFont="1" applyBorder="1" applyAlignment="1" applyProtection="1">
      <alignment/>
      <protection/>
    </xf>
    <xf numFmtId="37" fontId="0" fillId="0" borderId="20" xfId="57" applyNumberFormat="1" applyFont="1" applyFill="1" applyBorder="1" applyProtection="1">
      <alignment/>
      <protection/>
    </xf>
    <xf numFmtId="38" fontId="0" fillId="0" borderId="0" xfId="57" applyNumberFormat="1" applyFont="1" applyFill="1" applyBorder="1" applyProtection="1">
      <alignment/>
      <protection/>
    </xf>
    <xf numFmtId="38" fontId="0" fillId="0" borderId="0" xfId="57" applyNumberFormat="1" applyFont="1" applyBorder="1" applyProtection="1">
      <alignment/>
      <protection/>
    </xf>
    <xf numFmtId="168" fontId="0" fillId="0" borderId="0" xfId="57" applyNumberFormat="1" applyFont="1" applyFill="1" applyBorder="1" applyAlignment="1" applyProtection="1">
      <alignment/>
      <protection/>
    </xf>
    <xf numFmtId="167" fontId="0" fillId="0" borderId="0" xfId="57" applyNumberFormat="1" applyFont="1" applyFill="1" applyBorder="1" applyAlignment="1" applyProtection="1">
      <alignment horizontal="left"/>
      <protection/>
    </xf>
    <xf numFmtId="0" fontId="9" fillId="0" borderId="0" xfId="57" applyFont="1" applyProtection="1">
      <alignment/>
      <protection/>
    </xf>
    <xf numFmtId="0" fontId="0" fillId="0" borderId="18" xfId="57" applyFont="1" applyFill="1" applyBorder="1" applyProtection="1">
      <alignment/>
      <protection/>
    </xf>
    <xf numFmtId="0" fontId="0" fillId="0" borderId="23" xfId="57" applyFont="1" applyBorder="1" applyProtection="1">
      <alignment/>
      <protection/>
    </xf>
    <xf numFmtId="0" fontId="0" fillId="0" borderId="19" xfId="57" applyFont="1" applyBorder="1" applyProtection="1">
      <alignment/>
      <protection/>
    </xf>
    <xf numFmtId="0" fontId="0" fillId="0" borderId="14" xfId="57" applyFont="1" applyBorder="1" applyAlignment="1" applyProtection="1">
      <alignment horizontal="center"/>
      <protection/>
    </xf>
    <xf numFmtId="38" fontId="0" fillId="0" borderId="20" xfId="57" applyNumberFormat="1" applyFont="1" applyBorder="1" applyProtection="1">
      <alignment/>
      <protection/>
    </xf>
    <xf numFmtId="167" fontId="0" fillId="0" borderId="24" xfId="57" applyNumberFormat="1" applyFont="1" applyBorder="1" applyAlignment="1" applyProtection="1">
      <alignment horizontal="left"/>
      <protection/>
    </xf>
    <xf numFmtId="0" fontId="0" fillId="0" borderId="0" xfId="57" applyFont="1" applyAlignment="1" applyProtection="1">
      <alignment horizontal="left"/>
      <protection/>
    </xf>
    <xf numFmtId="38" fontId="0" fillId="0" borderId="20" xfId="57" applyNumberFormat="1" applyFont="1" applyBorder="1" applyProtection="1">
      <alignment/>
      <protection locked="0"/>
    </xf>
    <xf numFmtId="167" fontId="0" fillId="0" borderId="26" xfId="57" applyNumberFormat="1" applyFont="1" applyBorder="1" applyProtection="1">
      <alignment/>
      <protection/>
    </xf>
    <xf numFmtId="38" fontId="0" fillId="0" borderId="20" xfId="57" applyNumberFormat="1" applyFont="1" applyFill="1" applyBorder="1" applyProtection="1">
      <alignment/>
      <protection/>
    </xf>
    <xf numFmtId="167" fontId="0" fillId="0" borderId="22" xfId="57" applyNumberFormat="1" applyFont="1" applyBorder="1" applyProtection="1">
      <alignment/>
      <protection/>
    </xf>
    <xf numFmtId="0" fontId="0" fillId="0" borderId="11" xfId="57" applyFont="1" applyBorder="1" applyProtection="1">
      <alignment/>
      <protection/>
    </xf>
    <xf numFmtId="0" fontId="0" fillId="0" borderId="0" xfId="0" applyAlignment="1" applyProtection="1">
      <alignment horizontal="right"/>
      <protection/>
    </xf>
    <xf numFmtId="0" fontId="0" fillId="0" borderId="10" xfId="0" applyFont="1" applyBorder="1" applyAlignment="1" applyProtection="1">
      <alignment/>
      <protection/>
    </xf>
    <xf numFmtId="38" fontId="0" fillId="0" borderId="0" xfId="0" applyNumberFormat="1" applyFont="1" applyBorder="1" applyAlignment="1">
      <alignment/>
    </xf>
    <xf numFmtId="0" fontId="0" fillId="0" borderId="0" xfId="0" applyFont="1" applyAlignment="1" applyProtection="1">
      <alignment/>
      <protection/>
    </xf>
    <xf numFmtId="0" fontId="0" fillId="0" borderId="0" xfId="0" applyFont="1" applyBorder="1" applyAlignment="1" applyProtection="1">
      <alignment horizontal="center"/>
      <protection/>
    </xf>
    <xf numFmtId="0" fontId="0" fillId="0" borderId="18" xfId="0" applyFont="1" applyBorder="1" applyAlignment="1" applyProtection="1">
      <alignment/>
      <protection/>
    </xf>
    <xf numFmtId="0" fontId="0" fillId="0" borderId="23" xfId="0" applyFont="1" applyBorder="1" applyAlignment="1" applyProtection="1">
      <alignment/>
      <protection/>
    </xf>
    <xf numFmtId="167" fontId="0" fillId="0" borderId="0" xfId="0" applyNumberFormat="1" applyFont="1" applyBorder="1" applyAlignment="1" applyProtection="1">
      <alignment horizontal="left"/>
      <protection/>
    </xf>
    <xf numFmtId="0" fontId="0" fillId="0" borderId="24" xfId="0" applyFont="1" applyBorder="1" applyAlignment="1" applyProtection="1">
      <alignment/>
      <protection/>
    </xf>
    <xf numFmtId="167" fontId="0" fillId="0" borderId="22" xfId="0" applyNumberFormat="1" applyFont="1" applyBorder="1" applyAlignment="1" applyProtection="1">
      <alignment/>
      <protection/>
    </xf>
    <xf numFmtId="167" fontId="0" fillId="0" borderId="0" xfId="0" applyNumberFormat="1" applyFont="1" applyAlignment="1" applyProtection="1">
      <alignment horizontal="left"/>
      <protection/>
    </xf>
    <xf numFmtId="0" fontId="0" fillId="0" borderId="24" xfId="0" applyFont="1" applyFill="1" applyBorder="1" applyAlignment="1" applyProtection="1">
      <alignment/>
      <protection/>
    </xf>
    <xf numFmtId="0" fontId="0" fillId="0" borderId="25" xfId="0" applyFont="1" applyFill="1" applyBorder="1" applyAlignment="1" applyProtection="1">
      <alignment/>
      <protection/>
    </xf>
    <xf numFmtId="38" fontId="0" fillId="0" borderId="13" xfId="0" applyNumberFormat="1" applyFont="1" applyBorder="1" applyAlignment="1" applyProtection="1">
      <alignment/>
      <protection/>
    </xf>
    <xf numFmtId="38" fontId="0" fillId="0" borderId="13" xfId="0" applyNumberFormat="1" applyFont="1" applyBorder="1" applyAlignment="1" applyProtection="1">
      <alignment/>
      <protection locked="0"/>
    </xf>
    <xf numFmtId="38" fontId="0" fillId="0" borderId="20" xfId="0" applyNumberFormat="1" applyFont="1" applyBorder="1" applyAlignment="1" applyProtection="1">
      <alignment/>
      <protection locked="0"/>
    </xf>
    <xf numFmtId="0" fontId="0" fillId="0" borderId="10" xfId="0" applyFont="1" applyBorder="1" applyAlignment="1" applyProtection="1">
      <alignment horizontal="center"/>
      <protection/>
    </xf>
    <xf numFmtId="0" fontId="0" fillId="0" borderId="18" xfId="0" applyFont="1" applyBorder="1" applyAlignment="1" applyProtection="1">
      <alignment horizontal="centerContinuous"/>
      <protection/>
    </xf>
    <xf numFmtId="0" fontId="0" fillId="0" borderId="23" xfId="0" applyFont="1" applyBorder="1" applyAlignment="1" applyProtection="1">
      <alignment horizontal="centerContinuous"/>
      <protection/>
    </xf>
    <xf numFmtId="0" fontId="0" fillId="0" borderId="19" xfId="0" applyFont="1" applyBorder="1" applyAlignment="1" applyProtection="1">
      <alignment horizontal="centerContinuous"/>
      <protection/>
    </xf>
    <xf numFmtId="0" fontId="0" fillId="0" borderId="14" xfId="0" applyFont="1" applyBorder="1" applyAlignment="1" applyProtection="1">
      <alignment horizontal="center"/>
      <protection/>
    </xf>
    <xf numFmtId="0" fontId="0" fillId="0" borderId="23" xfId="0" applyFont="1" applyBorder="1" applyAlignment="1" applyProtection="1">
      <alignment horizontal="center"/>
      <protection/>
    </xf>
    <xf numFmtId="37" fontId="0" fillId="0" borderId="17" xfId="0" applyNumberFormat="1" applyFont="1" applyFill="1" applyBorder="1" applyAlignment="1">
      <alignment/>
    </xf>
    <xf numFmtId="0" fontId="0" fillId="0" borderId="10" xfId="0" applyFont="1" applyFill="1" applyBorder="1" applyAlignment="1">
      <alignment/>
    </xf>
    <xf numFmtId="37" fontId="0" fillId="0" borderId="30" xfId="0" applyNumberFormat="1" applyFont="1" applyFill="1" applyBorder="1" applyAlignment="1">
      <alignment/>
    </xf>
    <xf numFmtId="37" fontId="0" fillId="0" borderId="13" xfId="0" applyNumberFormat="1" applyFont="1" applyFill="1" applyBorder="1" applyAlignment="1" applyProtection="1">
      <alignment/>
      <protection/>
    </xf>
    <xf numFmtId="167" fontId="0" fillId="0" borderId="19" xfId="57" applyNumberFormat="1" applyFont="1" applyBorder="1" applyProtection="1">
      <alignment/>
      <protection/>
    </xf>
    <xf numFmtId="38" fontId="0" fillId="0" borderId="13" xfId="57" applyNumberFormat="1" applyFont="1" applyFill="1" applyBorder="1" applyProtection="1">
      <alignment/>
      <protection/>
    </xf>
    <xf numFmtId="167" fontId="0" fillId="0" borderId="0" xfId="57" applyNumberFormat="1" applyFont="1" applyBorder="1" applyAlignment="1" applyProtection="1">
      <alignment horizontal="left"/>
      <protection/>
    </xf>
    <xf numFmtId="0" fontId="1" fillId="0" borderId="18" xfId="57" applyFont="1" applyBorder="1" applyProtection="1">
      <alignment/>
      <protection/>
    </xf>
    <xf numFmtId="167" fontId="0" fillId="0" borderId="19" xfId="57" applyNumberFormat="1" applyFont="1" applyFill="1" applyBorder="1" applyProtection="1">
      <alignment/>
      <protection/>
    </xf>
    <xf numFmtId="184" fontId="0" fillId="35" borderId="0" xfId="0" applyNumberFormat="1" applyFont="1" applyFill="1" applyBorder="1" applyAlignment="1">
      <alignment/>
    </xf>
    <xf numFmtId="184" fontId="0" fillId="35" borderId="10" xfId="0" applyNumberFormat="1" applyFont="1" applyFill="1" applyBorder="1" applyAlignment="1">
      <alignment/>
    </xf>
    <xf numFmtId="184" fontId="0" fillId="35" borderId="24" xfId="0" applyNumberFormat="1" applyFont="1" applyFill="1" applyBorder="1" applyAlignment="1" applyProtection="1">
      <alignment/>
      <protection/>
    </xf>
    <xf numFmtId="184" fontId="0" fillId="35" borderId="24" xfId="0" applyNumberFormat="1" applyFont="1" applyFill="1" applyBorder="1" applyAlignment="1" applyProtection="1">
      <alignment/>
      <protection/>
    </xf>
    <xf numFmtId="184" fontId="0" fillId="35" borderId="25" xfId="0" applyNumberFormat="1" applyFont="1" applyFill="1" applyBorder="1" applyAlignment="1" applyProtection="1">
      <alignment/>
      <protection/>
    </xf>
    <xf numFmtId="38" fontId="0" fillId="0" borderId="20" xfId="57" applyNumberFormat="1" applyFont="1" applyFill="1" applyBorder="1" applyProtection="1">
      <alignment/>
      <protection locked="0"/>
    </xf>
    <xf numFmtId="38" fontId="0" fillId="0" borderId="20" xfId="57" applyNumberFormat="1" applyFont="1" applyBorder="1" applyAlignment="1" applyProtection="1">
      <alignment horizontal="right"/>
      <protection locked="0"/>
    </xf>
    <xf numFmtId="38" fontId="0" fillId="0" borderId="26" xfId="57" applyNumberFormat="1" applyFont="1" applyBorder="1" applyAlignment="1" applyProtection="1">
      <alignment horizontal="right"/>
      <protection locked="0"/>
    </xf>
    <xf numFmtId="0" fontId="0" fillId="0" borderId="22" xfId="57" applyFont="1" applyBorder="1" applyAlignment="1" applyProtection="1">
      <alignment horizontal="center"/>
      <protection/>
    </xf>
    <xf numFmtId="0" fontId="0" fillId="0" borderId="26" xfId="57" applyFont="1" applyBorder="1" applyAlignment="1" applyProtection="1">
      <alignment horizontal="center"/>
      <protection/>
    </xf>
    <xf numFmtId="0" fontId="1" fillId="0" borderId="18" xfId="0" applyFont="1" applyBorder="1" applyAlignment="1" applyProtection="1">
      <alignment/>
      <protection/>
    </xf>
    <xf numFmtId="0" fontId="0" fillId="0" borderId="19" xfId="0" applyFont="1" applyBorder="1" applyAlignment="1" applyProtection="1">
      <alignment/>
      <protection/>
    </xf>
    <xf numFmtId="0" fontId="0" fillId="0" borderId="14" xfId="0" applyFont="1" applyBorder="1" applyAlignment="1" applyProtection="1">
      <alignment/>
      <protection/>
    </xf>
    <xf numFmtId="0" fontId="1" fillId="0" borderId="24" xfId="0" applyFont="1" applyBorder="1" applyAlignment="1" applyProtection="1">
      <alignment/>
      <protection/>
    </xf>
    <xf numFmtId="0" fontId="0" fillId="0" borderId="22" xfId="0" applyFont="1" applyBorder="1" applyAlignment="1" applyProtection="1">
      <alignment/>
      <protection/>
    </xf>
    <xf numFmtId="0" fontId="0" fillId="0" borderId="29" xfId="0" applyFont="1" applyBorder="1" applyAlignment="1" applyProtection="1">
      <alignment horizontal="center"/>
      <protection/>
    </xf>
    <xf numFmtId="0" fontId="0" fillId="0" borderId="29" xfId="0" applyFont="1" applyBorder="1" applyAlignment="1" applyProtection="1">
      <alignment/>
      <protection/>
    </xf>
    <xf numFmtId="167" fontId="0" fillId="0" borderId="26" xfId="0" applyNumberFormat="1" applyFont="1" applyFill="1" applyBorder="1" applyAlignment="1" applyProtection="1">
      <alignment/>
      <protection/>
    </xf>
    <xf numFmtId="0" fontId="0" fillId="0" borderId="20" xfId="0" applyFont="1" applyBorder="1" applyAlignment="1" applyProtection="1">
      <alignment horizontal="center"/>
      <protection/>
    </xf>
    <xf numFmtId="167" fontId="0" fillId="0" borderId="19" xfId="0" applyNumberFormat="1" applyFont="1" applyFill="1" applyBorder="1" applyAlignment="1" applyProtection="1">
      <alignment/>
      <protection/>
    </xf>
    <xf numFmtId="167" fontId="0" fillId="0" borderId="22" xfId="0"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25" xfId="0" applyFont="1" applyBorder="1" applyAlignment="1" applyProtection="1">
      <alignment/>
      <protection/>
    </xf>
    <xf numFmtId="0" fontId="0" fillId="0" borderId="27" xfId="0" applyFont="1" applyBorder="1" applyAlignment="1" applyProtection="1">
      <alignment/>
      <protection/>
    </xf>
    <xf numFmtId="0" fontId="0" fillId="0" borderId="11" xfId="0" applyFont="1" applyBorder="1" applyAlignment="1" applyProtection="1">
      <alignment/>
      <protection/>
    </xf>
    <xf numFmtId="167" fontId="0" fillId="0" borderId="28" xfId="0" applyNumberFormat="1" applyFont="1" applyFill="1" applyBorder="1" applyAlignment="1" applyProtection="1">
      <alignment/>
      <protection/>
    </xf>
    <xf numFmtId="167" fontId="0" fillId="0" borderId="24" xfId="57" applyNumberFormat="1" applyFont="1" applyFill="1" applyBorder="1" applyAlignment="1" applyProtection="1">
      <alignment horizontal="left"/>
      <protection/>
    </xf>
    <xf numFmtId="167" fontId="0" fillId="0" borderId="10" xfId="0" applyNumberFormat="1" applyFont="1" applyFill="1" applyBorder="1" applyAlignment="1" applyProtection="1">
      <alignment/>
      <protection/>
    </xf>
    <xf numFmtId="167" fontId="0" fillId="0" borderId="0" xfId="57" applyNumberFormat="1" applyFont="1" applyBorder="1" applyAlignment="1" applyProtection="1">
      <alignment horizontal="right"/>
      <protection/>
    </xf>
    <xf numFmtId="167" fontId="0" fillId="0" borderId="26" xfId="57" applyNumberFormat="1" applyFont="1" applyBorder="1" applyAlignment="1" applyProtection="1">
      <alignment horizontal="right"/>
      <protection/>
    </xf>
    <xf numFmtId="0" fontId="0" fillId="0" borderId="25" xfId="0" applyFont="1" applyBorder="1" applyAlignment="1">
      <alignment horizontal="center"/>
    </xf>
    <xf numFmtId="0" fontId="0" fillId="0" borderId="26" xfId="0" applyFont="1" applyBorder="1" applyAlignment="1">
      <alignment horizontal="center"/>
    </xf>
    <xf numFmtId="0" fontId="0" fillId="0" borderId="14" xfId="0" applyFont="1" applyBorder="1" applyAlignment="1">
      <alignment horizontal="centerContinuous"/>
    </xf>
    <xf numFmtId="0" fontId="0" fillId="0" borderId="19" xfId="0" applyFont="1" applyBorder="1" applyAlignment="1">
      <alignment horizontal="centerContinuous"/>
    </xf>
    <xf numFmtId="0" fontId="0" fillId="0" borderId="18" xfId="0" applyFont="1" applyBorder="1" applyAlignment="1">
      <alignment horizontal="centerContinuous"/>
    </xf>
    <xf numFmtId="0" fontId="0" fillId="0" borderId="24" xfId="0" applyFont="1" applyBorder="1" applyAlignment="1">
      <alignment horizontal="center"/>
    </xf>
    <xf numFmtId="0" fontId="0" fillId="0" borderId="29" xfId="0" applyFont="1" applyBorder="1" applyAlignment="1">
      <alignment horizontal="centerContinuous"/>
    </xf>
    <xf numFmtId="0" fontId="0" fillId="0" borderId="29" xfId="0" applyFont="1" applyBorder="1" applyAlignment="1">
      <alignment horizontal="center"/>
    </xf>
    <xf numFmtId="0" fontId="0" fillId="0" borderId="22" xfId="0" applyFont="1" applyBorder="1" applyAlignment="1">
      <alignment horizontal="centerContinuous"/>
    </xf>
    <xf numFmtId="0" fontId="0" fillId="0" borderId="11" xfId="57" applyFont="1" applyBorder="1" applyProtection="1">
      <alignment/>
      <protection locked="0"/>
    </xf>
    <xf numFmtId="0" fontId="0" fillId="0" borderId="0" xfId="0" applyFont="1" applyFill="1" applyBorder="1" applyAlignment="1">
      <alignment/>
    </xf>
    <xf numFmtId="0" fontId="1" fillId="0" borderId="0" xfId="0" applyFont="1" applyFill="1" applyBorder="1" applyAlignment="1">
      <alignment/>
    </xf>
    <xf numFmtId="0" fontId="0" fillId="0" borderId="0" xfId="57" applyFont="1" applyFill="1" applyBorder="1" applyProtection="1">
      <alignment/>
      <protection/>
    </xf>
    <xf numFmtId="0" fontId="0" fillId="0" borderId="10" xfId="57" applyFont="1" applyFill="1" applyBorder="1" applyProtection="1">
      <alignment/>
      <protection/>
    </xf>
    <xf numFmtId="0" fontId="0" fillId="0" borderId="24" xfId="57" applyFont="1" applyFill="1" applyBorder="1" applyProtection="1">
      <alignment/>
      <protection/>
    </xf>
    <xf numFmtId="0" fontId="0" fillId="0" borderId="25" xfId="57" applyFont="1" applyFill="1" applyBorder="1" applyProtection="1">
      <alignment/>
      <protection/>
    </xf>
    <xf numFmtId="0" fontId="0" fillId="0" borderId="0" xfId="0" applyFont="1" applyBorder="1" applyAlignment="1">
      <alignment horizontal="left"/>
    </xf>
    <xf numFmtId="0" fontId="1" fillId="0" borderId="0" xfId="0" applyFont="1" applyBorder="1" applyAlignment="1">
      <alignment horizontal="left"/>
    </xf>
    <xf numFmtId="37" fontId="0" fillId="0" borderId="0" xfId="0" applyNumberFormat="1" applyFont="1" applyAlignment="1" applyProtection="1">
      <alignment/>
      <protection locked="0"/>
    </xf>
    <xf numFmtId="37" fontId="0" fillId="0" borderId="13" xfId="0" applyNumberFormat="1" applyFont="1" applyBorder="1" applyAlignment="1" applyProtection="1">
      <alignment horizontal="right"/>
      <protection locked="0"/>
    </xf>
    <xf numFmtId="37" fontId="0" fillId="0" borderId="11" xfId="0" applyNumberFormat="1" applyFont="1" applyBorder="1" applyAlignment="1" applyProtection="1">
      <alignment horizontal="right"/>
      <protection locked="0"/>
    </xf>
    <xf numFmtId="38" fontId="0" fillId="0" borderId="20" xfId="0" applyNumberFormat="1" applyFont="1" applyBorder="1" applyAlignment="1" applyProtection="1">
      <alignment horizontal="right"/>
      <protection locked="0"/>
    </xf>
    <xf numFmtId="0" fontId="0" fillId="0" borderId="0" xfId="0" applyFont="1" applyBorder="1" applyAlignment="1" applyProtection="1">
      <alignment horizontal="centerContinuous"/>
      <protection/>
    </xf>
    <xf numFmtId="38" fontId="0" fillId="0" borderId="20" xfId="0" applyNumberFormat="1" applyFont="1" applyBorder="1" applyAlignment="1" applyProtection="1">
      <alignment/>
      <protection/>
    </xf>
    <xf numFmtId="0" fontId="0" fillId="0" borderId="10" xfId="0" applyFont="1" applyFill="1" applyBorder="1" applyAlignment="1" applyProtection="1">
      <alignment/>
      <protection/>
    </xf>
    <xf numFmtId="164" fontId="0" fillId="0" borderId="0" xfId="0" applyNumberFormat="1" applyFont="1" applyFill="1" applyAlignment="1">
      <alignment horizontal="center"/>
    </xf>
    <xf numFmtId="49" fontId="0" fillId="0" borderId="10" xfId="0" applyNumberFormat="1" applyFont="1" applyBorder="1" applyAlignment="1">
      <alignment horizontal="center"/>
    </xf>
    <xf numFmtId="49" fontId="0" fillId="0" borderId="10" xfId="0" applyNumberFormat="1" applyFont="1" applyBorder="1" applyAlignment="1" applyProtection="1">
      <alignment horizontal="center"/>
      <protection/>
    </xf>
    <xf numFmtId="49" fontId="0" fillId="0" borderId="10" xfId="0" applyNumberFormat="1" applyFont="1" applyBorder="1" applyAlignment="1">
      <alignment horizontal="centerContinuous"/>
    </xf>
    <xf numFmtId="0" fontId="0" fillId="0" borderId="0" xfId="0" applyNumberFormat="1" applyFont="1" applyBorder="1" applyAlignment="1" applyProtection="1">
      <alignment/>
      <protection/>
    </xf>
    <xf numFmtId="37" fontId="0" fillId="0" borderId="10" xfId="0" applyNumberFormat="1" applyFont="1" applyFill="1" applyBorder="1" applyAlignment="1" applyProtection="1">
      <alignment/>
      <protection locked="0"/>
    </xf>
    <xf numFmtId="37" fontId="0" fillId="0" borderId="11" xfId="0" applyNumberFormat="1" applyFont="1" applyFill="1" applyBorder="1" applyAlignment="1" applyProtection="1">
      <alignment/>
      <protection locked="0"/>
    </xf>
    <xf numFmtId="37" fontId="0" fillId="0" borderId="12" xfId="0" applyNumberFormat="1" applyFont="1" applyFill="1" applyBorder="1" applyAlignment="1" applyProtection="1">
      <alignment/>
      <protection/>
    </xf>
    <xf numFmtId="0" fontId="0" fillId="0" borderId="0" xfId="0" applyFont="1" applyFill="1" applyBorder="1" applyAlignment="1">
      <alignment horizontal="right"/>
    </xf>
    <xf numFmtId="49" fontId="0" fillId="0" borderId="0" xfId="0" applyNumberFormat="1" applyFont="1" applyFill="1" applyBorder="1" applyAlignment="1">
      <alignment horizontal="left"/>
    </xf>
    <xf numFmtId="49" fontId="0" fillId="0" borderId="0" xfId="0" applyNumberFormat="1" applyFont="1" applyFill="1" applyAlignment="1">
      <alignment/>
    </xf>
    <xf numFmtId="37" fontId="0" fillId="0" borderId="16" xfId="0" applyNumberFormat="1" applyFont="1" applyFill="1" applyBorder="1" applyAlignment="1" applyProtection="1">
      <alignment/>
      <protection/>
    </xf>
    <xf numFmtId="37" fontId="0" fillId="0" borderId="17" xfId="0" applyNumberFormat="1" applyFont="1" applyFill="1" applyBorder="1" applyAlignment="1" applyProtection="1">
      <alignment/>
      <protection/>
    </xf>
    <xf numFmtId="49" fontId="0" fillId="0" borderId="0" xfId="0" applyNumberFormat="1" applyFont="1" applyFill="1" applyAlignment="1">
      <alignment horizontal="right"/>
    </xf>
    <xf numFmtId="38" fontId="0" fillId="0" borderId="20" xfId="0" applyNumberFormat="1" applyFont="1" applyFill="1" applyBorder="1" applyAlignment="1" applyProtection="1">
      <alignment/>
      <protection/>
    </xf>
    <xf numFmtId="38" fontId="0" fillId="0" borderId="20" xfId="0" applyNumberFormat="1" applyFont="1" applyFill="1" applyBorder="1" applyAlignment="1" applyProtection="1">
      <alignment horizontal="right"/>
      <protection/>
    </xf>
    <xf numFmtId="38" fontId="0" fillId="0" borderId="13" xfId="0" applyNumberFormat="1" applyFont="1" applyFill="1" applyBorder="1" applyAlignment="1" applyProtection="1">
      <alignment/>
      <protection/>
    </xf>
    <xf numFmtId="49" fontId="0" fillId="0" borderId="0" xfId="0" applyNumberFormat="1" applyFont="1" applyFill="1" applyAlignment="1">
      <alignment horizontal="left"/>
    </xf>
    <xf numFmtId="0" fontId="1" fillId="0" borderId="18" xfId="0" applyFont="1" applyFill="1" applyBorder="1" applyAlignment="1" applyProtection="1">
      <alignment/>
      <protection/>
    </xf>
    <xf numFmtId="0" fontId="0" fillId="0" borderId="23" xfId="0" applyFont="1" applyFill="1" applyBorder="1" applyAlignment="1" applyProtection="1">
      <alignment/>
      <protection/>
    </xf>
    <xf numFmtId="38" fontId="0" fillId="0" borderId="20" xfId="0" applyNumberFormat="1" applyFont="1" applyFill="1" applyBorder="1" applyAlignment="1" applyProtection="1">
      <alignment horizontal="right"/>
      <protection locked="0"/>
    </xf>
    <xf numFmtId="38" fontId="0" fillId="0" borderId="13" xfId="0" applyNumberFormat="1" applyFont="1" applyFill="1" applyBorder="1" applyAlignment="1" applyProtection="1">
      <alignment/>
      <protection locked="0"/>
    </xf>
    <xf numFmtId="38" fontId="0" fillId="0" borderId="20" xfId="0" applyNumberFormat="1" applyFont="1" applyFill="1" applyBorder="1" applyAlignment="1" applyProtection="1">
      <alignment/>
      <protection locked="0"/>
    </xf>
    <xf numFmtId="167" fontId="0" fillId="0" borderId="0" xfId="0" applyNumberFormat="1" applyFont="1" applyFill="1" applyBorder="1" applyAlignment="1" applyProtection="1">
      <alignment horizontal="left"/>
      <protection/>
    </xf>
    <xf numFmtId="0" fontId="0" fillId="0" borderId="11" xfId="0" applyFont="1" applyFill="1" applyBorder="1" applyAlignment="1" applyProtection="1">
      <alignment/>
      <protection/>
    </xf>
    <xf numFmtId="0" fontId="0" fillId="0" borderId="27" xfId="0" applyFont="1" applyFill="1" applyBorder="1" applyAlignment="1" applyProtection="1">
      <alignment/>
      <protection/>
    </xf>
    <xf numFmtId="0" fontId="0" fillId="0" borderId="0" xfId="0" applyFont="1" applyFill="1" applyBorder="1" applyAlignment="1">
      <alignment horizontal="left"/>
    </xf>
    <xf numFmtId="0" fontId="0" fillId="0" borderId="27" xfId="0" applyFont="1" applyFill="1" applyBorder="1" applyAlignment="1">
      <alignment/>
    </xf>
    <xf numFmtId="0" fontId="0" fillId="0" borderId="11" xfId="0" applyFont="1" applyFill="1" applyBorder="1" applyAlignment="1">
      <alignment/>
    </xf>
    <xf numFmtId="49" fontId="0" fillId="0" borderId="28" xfId="0" applyNumberFormat="1" applyFont="1" applyFill="1" applyBorder="1" applyAlignment="1">
      <alignment horizontal="right"/>
    </xf>
    <xf numFmtId="0" fontId="1" fillId="0" borderId="0" xfId="0" applyFont="1" applyFill="1" applyAlignment="1">
      <alignment/>
    </xf>
    <xf numFmtId="37" fontId="0" fillId="0" borderId="16" xfId="0" applyNumberFormat="1" applyFont="1" applyFill="1" applyBorder="1" applyAlignment="1">
      <alignment/>
    </xf>
    <xf numFmtId="37" fontId="0" fillId="0" borderId="30" xfId="0" applyNumberFormat="1" applyFont="1" applyFill="1" applyBorder="1" applyAlignment="1" applyProtection="1">
      <alignment/>
      <protection/>
    </xf>
    <xf numFmtId="0" fontId="0" fillId="36" borderId="13" xfId="0" applyFont="1" applyFill="1" applyBorder="1" applyAlignment="1">
      <alignment/>
    </xf>
    <xf numFmtId="37" fontId="0" fillId="33" borderId="15" xfId="0" applyNumberFormat="1" applyFont="1" applyFill="1" applyBorder="1" applyAlignment="1" applyProtection="1">
      <alignment/>
      <protection/>
    </xf>
    <xf numFmtId="37" fontId="0" fillId="33" borderId="16" xfId="0" applyNumberFormat="1" applyFont="1" applyFill="1" applyBorder="1" applyAlignment="1" applyProtection="1">
      <alignment/>
      <protection/>
    </xf>
    <xf numFmtId="10" fontId="0" fillId="0" borderId="13" xfId="0" applyNumberFormat="1" applyFont="1" applyBorder="1" applyAlignment="1">
      <alignment/>
    </xf>
    <xf numFmtId="0" fontId="0" fillId="0" borderId="24" xfId="0" applyFont="1" applyBorder="1" applyAlignment="1" applyProtection="1">
      <alignment horizontal="center"/>
      <protection/>
    </xf>
    <xf numFmtId="0" fontId="0" fillId="0" borderId="25" xfId="0" applyFont="1" applyBorder="1" applyAlignment="1" applyProtection="1">
      <alignment horizontal="center"/>
      <protection/>
    </xf>
    <xf numFmtId="0" fontId="0" fillId="0" borderId="22" xfId="0" applyFont="1" applyBorder="1" applyAlignment="1" applyProtection="1">
      <alignment horizontal="center"/>
      <protection/>
    </xf>
    <xf numFmtId="0" fontId="0" fillId="0" borderId="26" xfId="0" applyFont="1" applyBorder="1" applyAlignment="1" applyProtection="1">
      <alignment horizontal="center"/>
      <protection/>
    </xf>
    <xf numFmtId="0" fontId="0" fillId="0" borderId="13" xfId="0" applyFont="1" applyBorder="1" applyAlignment="1">
      <alignment horizontal="center" wrapText="1"/>
    </xf>
    <xf numFmtId="0" fontId="1" fillId="0" borderId="0" xfId="0" applyFont="1" applyBorder="1" applyAlignment="1" applyProtection="1">
      <alignment/>
      <protection/>
    </xf>
    <xf numFmtId="184" fontId="0" fillId="35" borderId="0" xfId="0" applyNumberFormat="1" applyFont="1" applyFill="1" applyBorder="1" applyAlignment="1" applyProtection="1">
      <alignment/>
      <protection/>
    </xf>
    <xf numFmtId="38" fontId="0" fillId="35" borderId="0" xfId="0" applyNumberFormat="1" applyFont="1" applyFill="1" applyBorder="1" applyAlignment="1" applyProtection="1">
      <alignment horizontal="right"/>
      <protection/>
    </xf>
    <xf numFmtId="0" fontId="0" fillId="0" borderId="25" xfId="0" applyBorder="1" applyAlignment="1">
      <alignment/>
    </xf>
    <xf numFmtId="0" fontId="1" fillId="0" borderId="24" xfId="0" applyFont="1" applyFill="1" applyBorder="1" applyAlignment="1" applyProtection="1">
      <alignment/>
      <protection/>
    </xf>
    <xf numFmtId="38" fontId="0" fillId="0" borderId="14" xfId="0" applyNumberFormat="1" applyFont="1" applyFill="1" applyBorder="1" applyAlignment="1" applyProtection="1">
      <alignment/>
      <protection/>
    </xf>
    <xf numFmtId="167" fontId="0" fillId="0" borderId="26" xfId="0" applyNumberFormat="1" applyFont="1" applyFill="1" applyBorder="1" applyAlignment="1" applyProtection="1">
      <alignment horizontal="center"/>
      <protection/>
    </xf>
    <xf numFmtId="0" fontId="0" fillId="0" borderId="20" xfId="0" applyFont="1" applyBorder="1" applyAlignment="1" applyProtection="1">
      <alignment horizontal="center" vertical="center"/>
      <protection/>
    </xf>
    <xf numFmtId="38" fontId="0" fillId="36" borderId="13" xfId="0" applyNumberFormat="1" applyFont="1" applyFill="1" applyBorder="1" applyAlignment="1" applyProtection="1">
      <alignment/>
      <protection/>
    </xf>
    <xf numFmtId="0" fontId="0" fillId="37" borderId="14" xfId="0" applyFill="1" applyBorder="1" applyAlignment="1" applyProtection="1">
      <alignment horizontal="center"/>
      <protection/>
    </xf>
    <xf numFmtId="0" fontId="0" fillId="37" borderId="20" xfId="0" applyFill="1" applyBorder="1" applyAlignment="1" applyProtection="1">
      <alignment horizontal="center"/>
      <protection/>
    </xf>
    <xf numFmtId="0" fontId="0" fillId="0" borderId="20" xfId="0" applyFont="1" applyFill="1" applyBorder="1" applyAlignment="1" applyProtection="1">
      <alignment horizontal="center"/>
      <protection/>
    </xf>
    <xf numFmtId="0" fontId="0" fillId="0" borderId="10" xfId="0" applyFont="1" applyBorder="1" applyAlignment="1" applyProtection="1">
      <alignment horizontal="center" vertical="center"/>
      <protection/>
    </xf>
    <xf numFmtId="167" fontId="0" fillId="0" borderId="0" xfId="0" applyNumberFormat="1" applyFont="1" applyFill="1" applyBorder="1" applyAlignment="1" applyProtection="1">
      <alignment/>
      <protection/>
    </xf>
    <xf numFmtId="167" fontId="0" fillId="36" borderId="13" xfId="0" applyNumberFormat="1" applyFont="1" applyFill="1" applyBorder="1" applyAlignment="1" applyProtection="1">
      <alignment/>
      <protection/>
    </xf>
    <xf numFmtId="0" fontId="0" fillId="36" borderId="13" xfId="0" applyFill="1" applyBorder="1" applyAlignment="1">
      <alignment/>
    </xf>
    <xf numFmtId="167" fontId="0" fillId="36" borderId="26" xfId="0" applyNumberFormat="1" applyFont="1" applyFill="1" applyBorder="1" applyAlignment="1" applyProtection="1">
      <alignment/>
      <protection/>
    </xf>
    <xf numFmtId="38" fontId="0" fillId="36" borderId="20" xfId="0" applyNumberFormat="1" applyFont="1" applyFill="1" applyBorder="1" applyAlignment="1" applyProtection="1">
      <alignment/>
      <protection/>
    </xf>
    <xf numFmtId="0" fontId="0" fillId="36" borderId="13" xfId="0" applyFill="1" applyBorder="1" applyAlignment="1" applyProtection="1">
      <alignment/>
      <protection/>
    </xf>
    <xf numFmtId="38" fontId="0" fillId="36" borderId="14" xfId="0" applyNumberFormat="1" applyFont="1" applyFill="1" applyBorder="1" applyAlignment="1" applyProtection="1">
      <alignment/>
      <protection/>
    </xf>
    <xf numFmtId="0" fontId="0" fillId="36" borderId="14" xfId="0" applyFill="1" applyBorder="1" applyAlignment="1" applyProtection="1">
      <alignment/>
      <protection/>
    </xf>
    <xf numFmtId="38" fontId="0" fillId="36" borderId="18" xfId="0" applyNumberFormat="1" applyFont="1" applyFill="1" applyBorder="1" applyAlignment="1" applyProtection="1">
      <alignment/>
      <protection/>
    </xf>
    <xf numFmtId="167" fontId="0" fillId="36" borderId="24" xfId="0" applyNumberFormat="1" applyFont="1" applyFill="1" applyBorder="1" applyAlignment="1" applyProtection="1">
      <alignment/>
      <protection/>
    </xf>
    <xf numFmtId="167" fontId="0" fillId="36" borderId="25" xfId="0" applyNumberFormat="1" applyFont="1" applyFill="1" applyBorder="1" applyAlignment="1" applyProtection="1">
      <alignment/>
      <protection/>
    </xf>
    <xf numFmtId="0" fontId="0" fillId="0" borderId="18" xfId="0" applyFont="1" applyBorder="1" applyAlignment="1" applyProtection="1">
      <alignment horizontal="center"/>
      <protection/>
    </xf>
    <xf numFmtId="38" fontId="0" fillId="0" borderId="28" xfId="0" applyNumberFormat="1" applyFont="1" applyFill="1" applyBorder="1" applyAlignment="1" applyProtection="1">
      <alignment/>
      <protection/>
    </xf>
    <xf numFmtId="0" fontId="0" fillId="0" borderId="0" xfId="0" applyFont="1" applyBorder="1" applyAlignment="1" applyProtection="1">
      <alignment vertical="top"/>
      <protection/>
    </xf>
    <xf numFmtId="0" fontId="0" fillId="0" borderId="24" xfId="0" applyFont="1" applyBorder="1" applyAlignment="1" applyProtection="1">
      <alignment/>
      <protection/>
    </xf>
    <xf numFmtId="0" fontId="56" fillId="0" borderId="0" xfId="0" applyFont="1" applyFill="1" applyBorder="1" applyAlignment="1" applyProtection="1">
      <alignment vertical="top"/>
      <protection/>
    </xf>
    <xf numFmtId="0" fontId="0" fillId="0" borderId="18" xfId="57" applyFont="1" applyBorder="1" applyAlignment="1" applyProtection="1">
      <alignment/>
      <protection/>
    </xf>
    <xf numFmtId="38" fontId="0" fillId="0" borderId="27" xfId="57" applyNumberFormat="1" applyFont="1" applyFill="1" applyBorder="1" applyAlignment="1" applyProtection="1">
      <alignment/>
      <protection locked="0"/>
    </xf>
    <xf numFmtId="38" fontId="0" fillId="0" borderId="27" xfId="57" applyNumberFormat="1" applyFont="1" applyBorder="1" applyAlignment="1" applyProtection="1">
      <alignment/>
      <protection/>
    </xf>
    <xf numFmtId="184" fontId="0" fillId="35" borderId="29" xfId="0" applyNumberFormat="1" applyFont="1" applyFill="1" applyBorder="1" applyAlignment="1" applyProtection="1">
      <alignment horizontal="center"/>
      <protection/>
    </xf>
    <xf numFmtId="38" fontId="0" fillId="35" borderId="13" xfId="0" applyNumberFormat="1" applyFont="1" applyFill="1" applyBorder="1" applyAlignment="1" applyProtection="1">
      <alignment/>
      <protection locked="0"/>
    </xf>
    <xf numFmtId="38" fontId="0" fillId="35" borderId="13" xfId="0" applyNumberFormat="1" applyFont="1" applyFill="1" applyBorder="1" applyAlignment="1">
      <alignment/>
    </xf>
    <xf numFmtId="38" fontId="0" fillId="35" borderId="13" xfId="0" applyNumberFormat="1" applyFont="1" applyFill="1" applyBorder="1" applyAlignment="1" applyProtection="1">
      <alignment/>
      <protection/>
    </xf>
    <xf numFmtId="0" fontId="0" fillId="0" borderId="26" xfId="0" applyFont="1" applyBorder="1" applyAlignment="1" applyProtection="1">
      <alignment/>
      <protection/>
    </xf>
    <xf numFmtId="49" fontId="0" fillId="0" borderId="0" xfId="0" applyNumberFormat="1" applyFont="1" applyBorder="1" applyAlignment="1" applyProtection="1">
      <alignment horizontal="left"/>
      <protection/>
    </xf>
    <xf numFmtId="0" fontId="1" fillId="0" borderId="0" xfId="0" applyFont="1" applyFill="1" applyBorder="1" applyAlignment="1" applyProtection="1">
      <alignment horizontal="left"/>
      <protection/>
    </xf>
    <xf numFmtId="0" fontId="0" fillId="0" borderId="0" xfId="0" applyFont="1" applyFill="1" applyBorder="1" applyAlignment="1" applyProtection="1">
      <alignment horizontal="center" wrapText="1"/>
      <protection/>
    </xf>
    <xf numFmtId="0" fontId="56" fillId="0" borderId="0" xfId="0" applyFont="1" applyFill="1" applyBorder="1" applyAlignment="1" applyProtection="1">
      <alignment/>
      <protection/>
    </xf>
    <xf numFmtId="49" fontId="0" fillId="0" borderId="0" xfId="0" applyNumberFormat="1" applyFont="1" applyBorder="1" applyAlignment="1" applyProtection="1">
      <alignment horizontal="left" vertical="top"/>
      <protection/>
    </xf>
    <xf numFmtId="0" fontId="56" fillId="0" borderId="0" xfId="0" applyFont="1" applyFill="1" applyBorder="1" applyAlignment="1" applyProtection="1">
      <alignment/>
      <protection/>
    </xf>
    <xf numFmtId="38" fontId="0" fillId="0" borderId="0" xfId="0" applyNumberFormat="1" applyFont="1" applyFill="1" applyBorder="1" applyAlignment="1" applyProtection="1">
      <alignment vertical="center"/>
      <protection/>
    </xf>
    <xf numFmtId="3" fontId="0" fillId="0" borderId="0" xfId="0" applyNumberFormat="1" applyFont="1" applyFill="1" applyBorder="1" applyAlignment="1" applyProtection="1">
      <alignment horizontal="right"/>
      <protection/>
    </xf>
    <xf numFmtId="0" fontId="0" fillId="0" borderId="25" xfId="0" applyFont="1" applyBorder="1" applyAlignment="1">
      <alignment horizontal="center" wrapText="1"/>
    </xf>
    <xf numFmtId="0" fontId="0" fillId="0" borderId="19" xfId="0" applyFont="1" applyBorder="1" applyAlignment="1" applyProtection="1">
      <alignment horizontal="center"/>
      <protection/>
    </xf>
    <xf numFmtId="3" fontId="0" fillId="0" borderId="0" xfId="0" applyNumberFormat="1" applyFont="1" applyBorder="1" applyAlignment="1" applyProtection="1">
      <alignment horizontal="right"/>
      <protection/>
    </xf>
    <xf numFmtId="3" fontId="0" fillId="0" borderId="0" xfId="0" applyNumberFormat="1" applyFont="1" applyFill="1" applyBorder="1" applyAlignment="1" applyProtection="1">
      <alignment/>
      <protection/>
    </xf>
    <xf numFmtId="37" fontId="0" fillId="0" borderId="0" xfId="0" applyNumberFormat="1" applyFont="1" applyFill="1" applyBorder="1" applyAlignment="1" applyProtection="1">
      <alignment vertical="top"/>
      <protection/>
    </xf>
    <xf numFmtId="38" fontId="0" fillId="0" borderId="0" xfId="0" applyNumberFormat="1" applyFont="1" applyFill="1" applyBorder="1" applyAlignment="1" applyProtection="1">
      <alignment vertical="top"/>
      <protection/>
    </xf>
    <xf numFmtId="38" fontId="0" fillId="0" borderId="13" xfId="0" applyNumberFormat="1" applyBorder="1" applyAlignment="1" applyProtection="1">
      <alignment/>
      <protection/>
    </xf>
    <xf numFmtId="38" fontId="0" fillId="0" borderId="13" xfId="0" applyNumberFormat="1" applyFont="1" applyBorder="1" applyAlignment="1" applyProtection="1">
      <alignment horizontal="right"/>
      <protection locked="0"/>
    </xf>
    <xf numFmtId="37" fontId="0" fillId="0" borderId="10" xfId="0" applyNumberFormat="1" applyFont="1" applyBorder="1" applyAlignment="1" applyProtection="1">
      <alignment/>
      <protection/>
    </xf>
    <xf numFmtId="38" fontId="8" fillId="0" borderId="13" xfId="0" applyNumberFormat="1" applyFont="1" applyFill="1" applyBorder="1" applyAlignment="1" applyProtection="1">
      <alignment/>
      <protection/>
    </xf>
    <xf numFmtId="38" fontId="0" fillId="0" borderId="29" xfId="57" applyNumberFormat="1" applyFont="1" applyBorder="1" applyAlignment="1" applyProtection="1">
      <alignment/>
      <protection locked="0"/>
    </xf>
    <xf numFmtId="38" fontId="0" fillId="0" borderId="14" xfId="57" applyNumberFormat="1" applyFont="1" applyBorder="1" applyAlignment="1" applyProtection="1">
      <alignment/>
      <protection/>
    </xf>
    <xf numFmtId="38" fontId="0" fillId="0" borderId="14" xfId="57" applyNumberFormat="1" applyFont="1" applyFill="1" applyBorder="1" applyAlignment="1" applyProtection="1">
      <alignment/>
      <protection/>
    </xf>
    <xf numFmtId="38" fontId="0" fillId="0" borderId="14" xfId="0" applyNumberFormat="1" applyFont="1" applyBorder="1" applyAlignment="1" applyProtection="1">
      <alignment/>
      <protection/>
    </xf>
    <xf numFmtId="38" fontId="0" fillId="0" borderId="20" xfId="0" applyNumberFormat="1" applyFont="1" applyBorder="1" applyAlignment="1" applyProtection="1">
      <alignment/>
      <protection locked="0"/>
    </xf>
    <xf numFmtId="38" fontId="0" fillId="0" borderId="29" xfId="0" applyNumberFormat="1" applyFont="1" applyFill="1" applyBorder="1" applyAlignment="1" applyProtection="1">
      <alignment/>
      <protection/>
    </xf>
    <xf numFmtId="38" fontId="0" fillId="0" borderId="29" xfId="0" applyNumberFormat="1" applyFont="1" applyBorder="1" applyAlignment="1" applyProtection="1">
      <alignment/>
      <protection/>
    </xf>
    <xf numFmtId="37" fontId="0" fillId="0" borderId="20" xfId="0" applyNumberFormat="1" applyFont="1" applyBorder="1" applyAlignment="1" applyProtection="1">
      <alignment/>
      <protection locked="0"/>
    </xf>
    <xf numFmtId="37" fontId="0" fillId="0" borderId="14" xfId="0" applyNumberFormat="1" applyFont="1" applyBorder="1" applyAlignment="1" applyProtection="1">
      <alignment/>
      <protection/>
    </xf>
    <xf numFmtId="37" fontId="0" fillId="0" borderId="18" xfId="0" applyNumberFormat="1" applyFont="1" applyBorder="1" applyAlignment="1" applyProtection="1">
      <alignment/>
      <protection/>
    </xf>
    <xf numFmtId="37" fontId="0" fillId="0" borderId="25" xfId="0" applyNumberFormat="1" applyFont="1" applyBorder="1" applyAlignment="1" applyProtection="1">
      <alignment/>
      <protection locked="0"/>
    </xf>
    <xf numFmtId="37" fontId="0" fillId="0" borderId="29" xfId="0" applyNumberFormat="1" applyFont="1" applyBorder="1" applyAlignment="1" applyProtection="1">
      <alignment/>
      <protection locked="0"/>
    </xf>
    <xf numFmtId="38" fontId="0" fillId="0" borderId="29" xfId="57" applyNumberFormat="1" applyFont="1" applyBorder="1" applyAlignment="1" applyProtection="1">
      <alignment/>
      <protection/>
    </xf>
    <xf numFmtId="37" fontId="0" fillId="0" borderId="20" xfId="57" applyNumberFormat="1" applyFont="1" applyFill="1" applyBorder="1" applyAlignment="1" applyProtection="1">
      <alignment/>
      <protection locked="0"/>
    </xf>
    <xf numFmtId="38" fontId="0" fillId="0" borderId="20" xfId="57" applyNumberFormat="1" applyFont="1" applyFill="1" applyBorder="1" applyAlignment="1" applyProtection="1">
      <alignment/>
      <protection locked="0"/>
    </xf>
    <xf numFmtId="38" fontId="0" fillId="0" borderId="29" xfId="57" applyNumberFormat="1" applyFont="1" applyFill="1" applyBorder="1" applyAlignment="1" applyProtection="1">
      <alignment/>
      <protection/>
    </xf>
    <xf numFmtId="38" fontId="0" fillId="0" borderId="20" xfId="0" applyNumberFormat="1" applyFont="1" applyFill="1" applyBorder="1" applyAlignment="1" applyProtection="1">
      <alignment/>
      <protection locked="0"/>
    </xf>
    <xf numFmtId="38" fontId="0" fillId="37" borderId="14" xfId="0" applyNumberFormat="1" applyFont="1" applyFill="1" applyBorder="1" applyAlignment="1" applyProtection="1">
      <alignment/>
      <protection/>
    </xf>
    <xf numFmtId="38" fontId="0" fillId="37" borderId="29" xfId="0" applyNumberFormat="1" applyFont="1" applyFill="1" applyBorder="1" applyAlignment="1" applyProtection="1">
      <alignment/>
      <protection/>
    </xf>
    <xf numFmtId="38" fontId="0" fillId="37" borderId="20" xfId="0" applyNumberFormat="1" applyFont="1" applyFill="1" applyBorder="1" applyAlignment="1" applyProtection="1">
      <alignment/>
      <protection/>
    </xf>
    <xf numFmtId="0" fontId="0" fillId="37" borderId="14" xfId="0" applyFill="1" applyBorder="1" applyAlignment="1" applyProtection="1">
      <alignment/>
      <protection/>
    </xf>
    <xf numFmtId="0" fontId="0" fillId="37" borderId="20" xfId="0" applyFill="1" applyBorder="1" applyAlignment="1" applyProtection="1">
      <alignment/>
      <protection/>
    </xf>
    <xf numFmtId="0" fontId="0" fillId="37" borderId="13" xfId="0" applyFill="1" applyBorder="1" applyAlignment="1" applyProtection="1">
      <alignment/>
      <protection/>
    </xf>
    <xf numFmtId="0" fontId="0" fillId="37" borderId="29" xfId="0" applyFill="1" applyBorder="1" applyAlignment="1" applyProtection="1">
      <alignment/>
      <protection/>
    </xf>
    <xf numFmtId="38" fontId="0" fillId="0" borderId="0" xfId="57" applyNumberFormat="1" applyFont="1" applyFill="1" applyBorder="1" applyAlignment="1" applyProtection="1">
      <alignment horizontal="right"/>
      <protection/>
    </xf>
    <xf numFmtId="0" fontId="0" fillId="0" borderId="0" xfId="0" applyFont="1" applyAlignment="1">
      <alignment/>
    </xf>
    <xf numFmtId="0" fontId="0" fillId="0" borderId="0" xfId="0" applyFont="1" applyBorder="1" applyAlignment="1">
      <alignment wrapText="1"/>
    </xf>
    <xf numFmtId="0" fontId="0" fillId="0" borderId="13" xfId="0" applyFont="1" applyFill="1" applyBorder="1" applyAlignment="1">
      <alignment horizontal="center"/>
    </xf>
    <xf numFmtId="38" fontId="0" fillId="36" borderId="20" xfId="57" applyNumberFormat="1" applyFont="1" applyFill="1" applyBorder="1" applyProtection="1">
      <alignment/>
      <protection/>
    </xf>
    <xf numFmtId="37" fontId="0" fillId="38" borderId="13" xfId="0" applyNumberFormat="1" applyFont="1" applyFill="1" applyBorder="1" applyAlignment="1">
      <alignment/>
    </xf>
    <xf numFmtId="49" fontId="0" fillId="0" borderId="0" xfId="0" applyNumberFormat="1" applyFont="1" applyBorder="1" applyAlignment="1">
      <alignment horizontal="center"/>
    </xf>
    <xf numFmtId="184" fontId="1" fillId="35" borderId="0" xfId="0" applyNumberFormat="1" applyFont="1" applyFill="1" applyAlignment="1">
      <alignment horizontal="center"/>
    </xf>
    <xf numFmtId="184" fontId="0" fillId="35" borderId="0" xfId="0" applyNumberFormat="1" applyFont="1" applyFill="1" applyAlignment="1">
      <alignment/>
    </xf>
    <xf numFmtId="184" fontId="1" fillId="35" borderId="0" xfId="0" applyNumberFormat="1" applyFont="1" applyFill="1" applyAlignment="1">
      <alignment/>
    </xf>
    <xf numFmtId="184" fontId="0" fillId="0" borderId="0" xfId="0" applyNumberFormat="1" applyFont="1" applyFill="1" applyAlignment="1">
      <alignment/>
    </xf>
    <xf numFmtId="184" fontId="0" fillId="35" borderId="0" xfId="0" applyNumberFormat="1" applyFont="1" applyFill="1" applyAlignment="1" quotePrefix="1">
      <alignment/>
    </xf>
    <xf numFmtId="184" fontId="0" fillId="35" borderId="0" xfId="0" applyNumberFormat="1" applyFont="1" applyFill="1" applyAlignment="1" quotePrefix="1">
      <alignment horizontal="left" vertical="center"/>
    </xf>
    <xf numFmtId="184" fontId="0" fillId="35" borderId="0" xfId="0" applyNumberFormat="1" applyFont="1" applyFill="1" applyAlignment="1">
      <alignment vertical="center"/>
    </xf>
    <xf numFmtId="165" fontId="0" fillId="35" borderId="0" xfId="0" applyNumberFormat="1" applyFont="1" applyFill="1" applyBorder="1" applyAlignment="1">
      <alignment horizontal="right"/>
    </xf>
    <xf numFmtId="184" fontId="0" fillId="35" borderId="0" xfId="0" applyNumberFormat="1" applyFont="1" applyFill="1" applyAlignment="1" quotePrefix="1">
      <alignment/>
    </xf>
    <xf numFmtId="49" fontId="0" fillId="35" borderId="0" xfId="0" applyNumberFormat="1" applyFont="1" applyFill="1" applyAlignment="1" quotePrefix="1">
      <alignment/>
    </xf>
    <xf numFmtId="1" fontId="0" fillId="35" borderId="0" xfId="0" applyNumberFormat="1" applyFont="1" applyFill="1" applyBorder="1" applyAlignment="1">
      <alignment horizontal="right"/>
    </xf>
    <xf numFmtId="0" fontId="1" fillId="0" borderId="0" xfId="0" applyFont="1" applyAlignment="1">
      <alignment horizontal="left"/>
    </xf>
    <xf numFmtId="38" fontId="0" fillId="0" borderId="20" xfId="57" applyNumberFormat="1" applyFont="1" applyFill="1" applyBorder="1" applyAlignment="1" applyProtection="1">
      <alignment/>
      <protection/>
    </xf>
    <xf numFmtId="38" fontId="0" fillId="0" borderId="20" xfId="57" applyNumberFormat="1" applyFont="1" applyFill="1" applyBorder="1" applyAlignment="1" applyProtection="1">
      <alignment horizontal="right"/>
      <protection/>
    </xf>
    <xf numFmtId="49" fontId="0" fillId="0" borderId="10" xfId="0" applyNumberFormat="1" applyFont="1" applyBorder="1" applyAlignment="1">
      <alignment/>
    </xf>
    <xf numFmtId="49" fontId="0" fillId="0" borderId="0" xfId="0" applyNumberFormat="1" applyFont="1" applyBorder="1" applyAlignment="1">
      <alignment/>
    </xf>
    <xf numFmtId="184" fontId="57" fillId="0" borderId="0" xfId="53" applyNumberFormat="1" applyFont="1" applyFill="1" applyAlignment="1" applyProtection="1">
      <alignment/>
      <protection/>
    </xf>
    <xf numFmtId="184" fontId="1" fillId="0" borderId="0" xfId="0" applyNumberFormat="1" applyFont="1" applyFill="1" applyBorder="1" applyAlignment="1">
      <alignment/>
    </xf>
    <xf numFmtId="184" fontId="1" fillId="0" borderId="0" xfId="0" applyNumberFormat="1" applyFont="1" applyFill="1" applyBorder="1" applyAlignment="1">
      <alignment horizontal="center"/>
    </xf>
    <xf numFmtId="184" fontId="0" fillId="0" borderId="14" xfId="0" applyNumberFormat="1" applyFont="1" applyFill="1" applyBorder="1" applyAlignment="1">
      <alignment horizontal="center"/>
    </xf>
    <xf numFmtId="2" fontId="0" fillId="0" borderId="14" xfId="0" applyNumberFormat="1" applyFont="1" applyFill="1" applyBorder="1" applyAlignment="1">
      <alignment horizontal="center"/>
    </xf>
    <xf numFmtId="49" fontId="0" fillId="0" borderId="14" xfId="0" applyNumberFormat="1" applyFont="1" applyFill="1" applyBorder="1" applyAlignment="1">
      <alignment horizontal="center" wrapText="1"/>
    </xf>
    <xf numFmtId="1" fontId="0" fillId="0" borderId="0" xfId="0" applyNumberFormat="1" applyFont="1" applyFill="1" applyBorder="1" applyAlignment="1">
      <alignment horizontal="center" wrapText="1"/>
    </xf>
    <xf numFmtId="0" fontId="0" fillId="0" borderId="0" xfId="0" applyFont="1" applyFill="1" applyBorder="1" applyAlignment="1" applyProtection="1">
      <alignment horizontal="center"/>
      <protection/>
    </xf>
    <xf numFmtId="184" fontId="0" fillId="0" borderId="29" xfId="0" applyNumberFormat="1" applyFont="1" applyFill="1" applyBorder="1" applyAlignment="1">
      <alignment horizontal="center"/>
    </xf>
    <xf numFmtId="2" fontId="0" fillId="0" borderId="29" xfId="0" applyNumberFormat="1" applyFont="1" applyFill="1" applyBorder="1" applyAlignment="1">
      <alignment horizontal="center"/>
    </xf>
    <xf numFmtId="49" fontId="0" fillId="0" borderId="29" xfId="0" applyNumberFormat="1" applyFont="1" applyFill="1" applyBorder="1" applyAlignment="1">
      <alignment horizontal="center" wrapText="1"/>
    </xf>
    <xf numFmtId="1" fontId="0" fillId="0" borderId="29" xfId="0" applyNumberFormat="1" applyFont="1" applyFill="1" applyBorder="1" applyAlignment="1">
      <alignment horizontal="center"/>
    </xf>
    <xf numFmtId="1" fontId="0" fillId="0" borderId="29" xfId="0" applyNumberFormat="1" applyFont="1" applyFill="1" applyBorder="1" applyAlignment="1">
      <alignment horizontal="center" wrapText="1"/>
    </xf>
    <xf numFmtId="184" fontId="1" fillId="0" borderId="0" xfId="0" applyNumberFormat="1" applyFont="1" applyFill="1" applyAlignment="1">
      <alignment horizontal="left"/>
    </xf>
    <xf numFmtId="1" fontId="0" fillId="0" borderId="20" xfId="0" applyNumberFormat="1" applyFont="1" applyFill="1" applyBorder="1" applyAlignment="1" applyProtection="1">
      <alignment horizontal="center"/>
      <protection/>
    </xf>
    <xf numFmtId="1" fontId="0" fillId="0" borderId="20" xfId="0" applyNumberFormat="1" applyFont="1" applyFill="1" applyBorder="1" applyAlignment="1">
      <alignment horizontal="center" wrapText="1"/>
    </xf>
    <xf numFmtId="184" fontId="0" fillId="35" borderId="0" xfId="0" applyNumberFormat="1" applyFont="1" applyFill="1" applyAlignment="1">
      <alignment horizontal="left"/>
    </xf>
    <xf numFmtId="184" fontId="0" fillId="35" borderId="0" xfId="0" applyNumberFormat="1" applyFont="1" applyFill="1" applyAlignment="1" quotePrefix="1">
      <alignment horizontal="right"/>
    </xf>
    <xf numFmtId="184" fontId="0" fillId="35" borderId="0" xfId="0" applyNumberFormat="1" applyFont="1" applyFill="1" applyBorder="1" applyAlignment="1" quotePrefix="1">
      <alignment/>
    </xf>
    <xf numFmtId="1" fontId="0" fillId="0" borderId="0" xfId="0" applyNumberFormat="1" applyFont="1" applyFill="1" applyBorder="1" applyAlignment="1" applyProtection="1">
      <alignment/>
      <protection/>
    </xf>
    <xf numFmtId="1" fontId="0" fillId="35" borderId="0" xfId="0" applyNumberFormat="1" applyFont="1" applyFill="1" applyAlignment="1">
      <alignment horizontal="left"/>
    </xf>
    <xf numFmtId="49" fontId="0" fillId="35" borderId="0" xfId="0" applyNumberFormat="1" applyFont="1" applyFill="1" applyAlignment="1" quotePrefix="1">
      <alignment horizontal="right"/>
    </xf>
    <xf numFmtId="166" fontId="0" fillId="35" borderId="0" xfId="0" applyNumberFormat="1" applyFont="1" applyFill="1" applyAlignment="1">
      <alignment horizontal="left"/>
    </xf>
    <xf numFmtId="184" fontId="0" fillId="0" borderId="0" xfId="0" applyNumberFormat="1" applyFont="1" applyFill="1" applyAlignment="1">
      <alignment horizontal="left"/>
    </xf>
    <xf numFmtId="1" fontId="0" fillId="35" borderId="0" xfId="0" applyNumberFormat="1" applyFont="1" applyFill="1" applyBorder="1" applyAlignment="1">
      <alignment/>
    </xf>
    <xf numFmtId="184" fontId="0" fillId="35" borderId="14" xfId="0" applyNumberFormat="1" applyFont="1" applyFill="1" applyBorder="1" applyAlignment="1">
      <alignment horizontal="center"/>
    </xf>
    <xf numFmtId="49" fontId="0" fillId="35" borderId="0" xfId="0" applyNumberFormat="1" applyFont="1" applyFill="1" applyBorder="1" applyAlignment="1">
      <alignment horizontal="right"/>
    </xf>
    <xf numFmtId="184" fontId="0" fillId="35" borderId="29" xfId="0" applyNumberFormat="1" applyFont="1" applyFill="1" applyBorder="1" applyAlignment="1">
      <alignment horizontal="center"/>
    </xf>
    <xf numFmtId="184" fontId="0" fillId="35" borderId="20" xfId="0" applyNumberFormat="1" applyFont="1" applyFill="1" applyBorder="1" applyAlignment="1">
      <alignment horizontal="center"/>
    </xf>
    <xf numFmtId="184" fontId="0" fillId="35" borderId="0" xfId="0" applyNumberFormat="1" applyFont="1" applyFill="1" applyBorder="1" applyAlignment="1">
      <alignment/>
    </xf>
    <xf numFmtId="49" fontId="0" fillId="35" borderId="0" xfId="0" applyNumberFormat="1" applyFont="1" applyFill="1" applyBorder="1" applyAlignment="1">
      <alignment horizontal="left"/>
    </xf>
    <xf numFmtId="184" fontId="0" fillId="35" borderId="13" xfId="0" applyNumberFormat="1" applyFont="1" applyFill="1" applyBorder="1" applyAlignment="1">
      <alignment horizontal="center"/>
    </xf>
    <xf numFmtId="184" fontId="0" fillId="35" borderId="10" xfId="0" applyNumberFormat="1" applyFont="1" applyFill="1" applyBorder="1" applyAlignment="1">
      <alignment horizontal="center"/>
    </xf>
    <xf numFmtId="184" fontId="0" fillId="0" borderId="0" xfId="0" applyNumberFormat="1" applyFont="1" applyFill="1" applyBorder="1" applyAlignment="1">
      <alignment horizontal="center"/>
    </xf>
    <xf numFmtId="167" fontId="0" fillId="0" borderId="26" xfId="57" applyNumberFormat="1" applyFont="1" applyFill="1" applyBorder="1" applyProtection="1">
      <alignment/>
      <protection/>
    </xf>
    <xf numFmtId="0" fontId="0" fillId="0" borderId="18" xfId="57" applyFont="1" applyBorder="1" applyProtection="1">
      <alignment/>
      <protection/>
    </xf>
    <xf numFmtId="1" fontId="0" fillId="0" borderId="0" xfId="0" applyNumberFormat="1" applyFont="1" applyFill="1" applyBorder="1" applyAlignment="1" applyProtection="1">
      <alignment horizontal="right" vertical="center"/>
      <protection/>
    </xf>
    <xf numFmtId="184" fontId="0" fillId="35" borderId="0" xfId="0" applyNumberFormat="1" applyFont="1" applyFill="1" applyAlignment="1" applyProtection="1">
      <alignment/>
      <protection/>
    </xf>
    <xf numFmtId="184" fontId="1" fillId="0" borderId="0" xfId="0" applyNumberFormat="1" applyFont="1" applyFill="1" applyBorder="1" applyAlignment="1" applyProtection="1">
      <alignment/>
      <protection/>
    </xf>
    <xf numFmtId="2" fontId="0" fillId="0" borderId="0" xfId="0" applyNumberFormat="1" applyFont="1" applyFill="1" applyBorder="1" applyAlignment="1" applyProtection="1">
      <alignment horizontal="center"/>
      <protection/>
    </xf>
    <xf numFmtId="1" fontId="0" fillId="0" borderId="0" xfId="0" applyNumberFormat="1" applyFont="1" applyFill="1" applyBorder="1" applyAlignment="1" applyProtection="1">
      <alignment horizontal="center" wrapText="1"/>
      <protection/>
    </xf>
    <xf numFmtId="1" fontId="0" fillId="0" borderId="0" xfId="0" applyNumberFormat="1" applyFont="1" applyFill="1" applyBorder="1" applyAlignment="1" applyProtection="1">
      <alignment horizontal="center"/>
      <protection/>
    </xf>
    <xf numFmtId="1" fontId="0" fillId="35" borderId="0" xfId="0" applyNumberFormat="1" applyFont="1" applyFill="1" applyBorder="1" applyAlignment="1" applyProtection="1">
      <alignment/>
      <protection/>
    </xf>
    <xf numFmtId="49" fontId="0" fillId="35" borderId="0" xfId="0" applyNumberFormat="1" applyFont="1" applyFill="1" applyAlignment="1" applyProtection="1" quotePrefix="1">
      <alignment/>
      <protection/>
    </xf>
    <xf numFmtId="1" fontId="0" fillId="35" borderId="0" xfId="0" applyNumberFormat="1" applyFont="1" applyFill="1" applyBorder="1" applyAlignment="1" applyProtection="1">
      <alignment horizontal="right"/>
      <protection/>
    </xf>
    <xf numFmtId="184" fontId="0" fillId="0" borderId="0" xfId="0" applyNumberFormat="1" applyFont="1" applyFill="1" applyBorder="1" applyAlignment="1" applyProtection="1">
      <alignment/>
      <protection/>
    </xf>
    <xf numFmtId="184" fontId="0" fillId="35" borderId="0" xfId="0" applyNumberFormat="1" applyFont="1" applyFill="1" applyBorder="1" applyAlignment="1" applyProtection="1">
      <alignment/>
      <protection/>
    </xf>
    <xf numFmtId="1" fontId="1" fillId="35" borderId="0" xfId="0" applyNumberFormat="1" applyFont="1" applyFill="1" applyBorder="1" applyAlignment="1" applyProtection="1">
      <alignment/>
      <protection/>
    </xf>
    <xf numFmtId="1" fontId="0" fillId="35" borderId="0" xfId="0" applyNumberFormat="1" applyFont="1" applyFill="1" applyBorder="1" applyAlignment="1" applyProtection="1">
      <alignment horizontal="center"/>
      <protection/>
    </xf>
    <xf numFmtId="49" fontId="0" fillId="35" borderId="0" xfId="0" applyNumberFormat="1" applyFont="1" applyFill="1" applyBorder="1" applyAlignment="1" applyProtection="1">
      <alignment/>
      <protection/>
    </xf>
    <xf numFmtId="49" fontId="0" fillId="35" borderId="0" xfId="0" applyNumberFormat="1" applyFont="1" applyFill="1" applyBorder="1" applyAlignment="1" applyProtection="1">
      <alignment horizontal="right"/>
      <protection/>
    </xf>
    <xf numFmtId="49" fontId="0" fillId="35" borderId="0" xfId="0" applyNumberFormat="1" applyFont="1" applyFill="1" applyAlignment="1" applyProtection="1">
      <alignment/>
      <protection/>
    </xf>
    <xf numFmtId="38" fontId="0" fillId="35" borderId="13" xfId="0" applyNumberFormat="1" applyFont="1" applyFill="1" applyBorder="1" applyAlignment="1" applyProtection="1">
      <alignment horizontal="right" vertical="center"/>
      <protection locked="0"/>
    </xf>
    <xf numFmtId="38" fontId="0" fillId="0" borderId="13" xfId="0" applyNumberFormat="1" applyFont="1" applyFill="1" applyBorder="1" applyAlignment="1" applyProtection="1">
      <alignment horizontal="right" vertical="center"/>
      <protection locked="0"/>
    </xf>
    <xf numFmtId="38" fontId="0" fillId="35" borderId="14" xfId="0" applyNumberFormat="1" applyFont="1" applyFill="1" applyBorder="1" applyAlignment="1" applyProtection="1">
      <alignment/>
      <protection/>
    </xf>
    <xf numFmtId="38" fontId="0" fillId="35" borderId="20" xfId="0" applyNumberFormat="1" applyFont="1" applyFill="1" applyBorder="1" applyAlignment="1" applyProtection="1">
      <alignment/>
      <protection locked="0"/>
    </xf>
    <xf numFmtId="38" fontId="0" fillId="0" borderId="13" xfId="0" applyNumberFormat="1" applyFont="1" applyFill="1" applyBorder="1" applyAlignment="1" applyProtection="1">
      <alignment/>
      <protection locked="0"/>
    </xf>
    <xf numFmtId="38" fontId="0" fillId="35" borderId="20" xfId="0" applyNumberFormat="1" applyFont="1" applyFill="1" applyBorder="1" applyAlignment="1" applyProtection="1">
      <alignment/>
      <protection locked="0"/>
    </xf>
    <xf numFmtId="38" fontId="0" fillId="35" borderId="13" xfId="0" applyNumberFormat="1" applyFont="1" applyFill="1" applyBorder="1" applyAlignment="1" applyProtection="1">
      <alignment/>
      <protection locked="0"/>
    </xf>
    <xf numFmtId="37" fontId="0" fillId="0" borderId="17" xfId="0" applyNumberFormat="1" applyFont="1" applyBorder="1" applyAlignment="1" applyProtection="1">
      <alignment/>
      <protection/>
    </xf>
    <xf numFmtId="184" fontId="0" fillId="39" borderId="14" xfId="0" applyNumberFormat="1" applyFont="1" applyFill="1" applyBorder="1" applyAlignment="1">
      <alignment/>
    </xf>
    <xf numFmtId="184" fontId="0" fillId="39" borderId="29" xfId="0" applyNumberFormat="1" applyFont="1" applyFill="1" applyBorder="1" applyAlignment="1">
      <alignment/>
    </xf>
    <xf numFmtId="0" fontId="58" fillId="40" borderId="24" xfId="53" applyFont="1" applyFill="1" applyBorder="1" applyAlignment="1" applyProtection="1">
      <alignment/>
      <protection/>
    </xf>
    <xf numFmtId="0" fontId="59" fillId="40" borderId="27" xfId="53" applyFont="1" applyFill="1" applyBorder="1" applyAlignment="1" applyProtection="1">
      <alignment/>
      <protection/>
    </xf>
    <xf numFmtId="0" fontId="60" fillId="40" borderId="11" xfId="53" applyFont="1" applyFill="1" applyBorder="1" applyAlignment="1" applyProtection="1">
      <alignment/>
      <protection/>
    </xf>
    <xf numFmtId="0" fontId="59" fillId="40" borderId="0" xfId="53" applyFont="1" applyFill="1" applyAlignment="1" applyProtection="1">
      <alignment/>
      <protection/>
    </xf>
    <xf numFmtId="0" fontId="59" fillId="0" borderId="0" xfId="0" applyFont="1" applyAlignment="1">
      <alignment/>
    </xf>
    <xf numFmtId="49" fontId="59" fillId="40" borderId="0" xfId="53" applyNumberFormat="1" applyFont="1" applyFill="1" applyBorder="1" applyAlignment="1" applyProtection="1">
      <alignment horizontal="left"/>
      <protection/>
    </xf>
    <xf numFmtId="0" fontId="61" fillId="40" borderId="0" xfId="53" applyFont="1" applyFill="1" applyAlignment="1" applyProtection="1">
      <alignment/>
      <protection/>
    </xf>
    <xf numFmtId="0" fontId="59" fillId="0" borderId="0" xfId="0" applyFont="1" applyFill="1" applyAlignment="1">
      <alignment/>
    </xf>
    <xf numFmtId="49" fontId="59" fillId="40" borderId="0" xfId="53" applyNumberFormat="1" applyFont="1" applyFill="1" applyAlignment="1" applyProtection="1">
      <alignment/>
      <protection/>
    </xf>
    <xf numFmtId="0" fontId="59" fillId="0" borderId="0" xfId="53" applyFont="1" applyAlignment="1" applyProtection="1">
      <alignment/>
      <protection/>
    </xf>
    <xf numFmtId="184" fontId="59" fillId="39" borderId="29" xfId="53" applyNumberFormat="1" applyFont="1" applyFill="1" applyBorder="1" applyAlignment="1" applyProtection="1">
      <alignment horizontal="center"/>
      <protection/>
    </xf>
    <xf numFmtId="184" fontId="59" fillId="39" borderId="20" xfId="53" applyNumberFormat="1" applyFont="1" applyFill="1" applyBorder="1" applyAlignment="1" applyProtection="1">
      <alignment horizontal="center"/>
      <protection/>
    </xf>
    <xf numFmtId="184" fontId="59" fillId="39" borderId="0" xfId="53" applyNumberFormat="1" applyFont="1" applyFill="1" applyBorder="1" applyAlignment="1" applyProtection="1">
      <alignment/>
      <protection/>
    </xf>
    <xf numFmtId="184" fontId="59" fillId="39" borderId="0" xfId="53" applyNumberFormat="1" applyFont="1" applyFill="1" applyAlignment="1" applyProtection="1">
      <alignment/>
      <protection/>
    </xf>
    <xf numFmtId="184" fontId="59" fillId="39" borderId="0" xfId="0" applyNumberFormat="1" applyFont="1" applyFill="1" applyAlignment="1">
      <alignment/>
    </xf>
    <xf numFmtId="37" fontId="0" fillId="0" borderId="0" xfId="0" applyNumberFormat="1" applyFont="1" applyAlignment="1">
      <alignment/>
    </xf>
    <xf numFmtId="0" fontId="1" fillId="0" borderId="0" xfId="0" applyFont="1" applyFill="1" applyAlignment="1">
      <alignment/>
    </xf>
    <xf numFmtId="37" fontId="0" fillId="0" borderId="20" xfId="0" applyNumberFormat="1" applyFont="1" applyFill="1" applyBorder="1" applyAlignment="1">
      <alignment/>
    </xf>
    <xf numFmtId="37" fontId="0" fillId="0" borderId="29" xfId="0" applyNumberFormat="1" applyFont="1" applyFill="1" applyBorder="1" applyAlignment="1" applyProtection="1">
      <alignment/>
      <protection/>
    </xf>
    <xf numFmtId="0" fontId="1" fillId="0" borderId="13" xfId="0" applyFont="1" applyBorder="1" applyAlignment="1">
      <alignment horizontal="center" vertical="center" wrapText="1"/>
    </xf>
    <xf numFmtId="0" fontId="0" fillId="0" borderId="13" xfId="0" applyFont="1" applyBorder="1" applyAlignment="1">
      <alignment vertical="top" wrapText="1"/>
    </xf>
    <xf numFmtId="0" fontId="0" fillId="35" borderId="0" xfId="0" applyNumberFormat="1" applyFont="1" applyFill="1" applyAlignment="1">
      <alignment/>
    </xf>
    <xf numFmtId="184" fontId="0" fillId="35" borderId="13" xfId="0" applyNumberFormat="1" applyFont="1" applyFill="1" applyBorder="1" applyAlignment="1">
      <alignment horizontal="justify" vertical="top" wrapText="1"/>
    </xf>
    <xf numFmtId="184" fontId="0" fillId="35" borderId="14" xfId="0" applyNumberFormat="1" applyFont="1" applyFill="1" applyBorder="1" applyAlignment="1">
      <alignment horizontal="justify" vertical="top" wrapText="1"/>
    </xf>
    <xf numFmtId="184" fontId="58" fillId="0" borderId="0" xfId="53" applyNumberFormat="1" applyFont="1" applyFill="1" applyBorder="1" applyAlignment="1" applyProtection="1">
      <alignment/>
      <protection/>
    </xf>
    <xf numFmtId="184" fontId="0" fillId="0" borderId="0" xfId="0" applyNumberFormat="1" applyFont="1" applyFill="1" applyBorder="1" applyAlignment="1">
      <alignment/>
    </xf>
    <xf numFmtId="184" fontId="0" fillId="35" borderId="13" xfId="0" applyNumberFormat="1" applyFont="1" applyFill="1" applyBorder="1" applyAlignment="1">
      <alignment horizontal="justify" vertical="top"/>
    </xf>
    <xf numFmtId="184" fontId="0" fillId="35" borderId="13" xfId="0" applyNumberFormat="1" applyFont="1" applyFill="1" applyBorder="1" applyAlignment="1">
      <alignment horizontal="center" vertical="top" wrapText="1"/>
    </xf>
    <xf numFmtId="165" fontId="59" fillId="35" borderId="13" xfId="53" applyNumberFormat="1" applyFont="1" applyFill="1" applyBorder="1" applyAlignment="1" applyProtection="1">
      <alignment horizontal="center" vertical="top"/>
      <protection/>
    </xf>
    <xf numFmtId="184" fontId="0" fillId="0" borderId="13" xfId="0" applyNumberFormat="1" applyFont="1" applyFill="1" applyBorder="1" applyAlignment="1">
      <alignment horizontal="center" vertical="top"/>
    </xf>
    <xf numFmtId="184" fontId="0" fillId="0" borderId="13" xfId="0" applyNumberFormat="1" applyFont="1" applyFill="1" applyBorder="1" applyAlignment="1">
      <alignment horizontal="center" vertical="top" wrapText="1"/>
    </xf>
    <xf numFmtId="184" fontId="0" fillId="0" borderId="13" xfId="0" applyNumberFormat="1" applyFont="1" applyFill="1" applyBorder="1" applyAlignment="1">
      <alignment horizontal="justify" vertical="top" wrapText="1"/>
    </xf>
    <xf numFmtId="184" fontId="0" fillId="35" borderId="0" xfId="0" applyNumberFormat="1" applyFont="1" applyFill="1" applyBorder="1" applyAlignment="1">
      <alignment horizontal="justify" vertical="top"/>
    </xf>
    <xf numFmtId="165" fontId="59" fillId="0" borderId="13" xfId="53" applyNumberFormat="1" applyFont="1" applyFill="1" applyBorder="1" applyAlignment="1" applyProtection="1">
      <alignment horizontal="center" vertical="top"/>
      <protection/>
    </xf>
    <xf numFmtId="184" fontId="0" fillId="0" borderId="14" xfId="0" applyNumberFormat="1" applyFont="1" applyFill="1" applyBorder="1" applyAlignment="1">
      <alignment horizontal="center" vertical="top" wrapText="1"/>
    </xf>
    <xf numFmtId="0" fontId="0" fillId="0" borderId="0" xfId="0" applyNumberFormat="1" applyFont="1" applyFill="1" applyAlignment="1">
      <alignment/>
    </xf>
    <xf numFmtId="165" fontId="0" fillId="35" borderId="0" xfId="0" applyNumberFormat="1" applyFont="1" applyFill="1" applyBorder="1" applyAlignment="1">
      <alignment horizontal="center" vertical="top"/>
    </xf>
    <xf numFmtId="184" fontId="0" fillId="35" borderId="0" xfId="0" applyNumberFormat="1" applyFont="1" applyFill="1" applyBorder="1" applyAlignment="1">
      <alignment horizontal="center" vertical="top" wrapText="1"/>
    </xf>
    <xf numFmtId="49" fontId="59" fillId="40" borderId="14" xfId="0" applyNumberFormat="1" applyFont="1" applyFill="1" applyBorder="1" applyAlignment="1">
      <alignment horizontal="center" wrapText="1"/>
    </xf>
    <xf numFmtId="49" fontId="59" fillId="40" borderId="29" xfId="0" applyNumberFormat="1" applyFont="1" applyFill="1" applyBorder="1" applyAlignment="1">
      <alignment horizontal="center" wrapText="1"/>
    </xf>
    <xf numFmtId="2" fontId="59" fillId="40" borderId="29" xfId="53" applyNumberFormat="1" applyFont="1" applyFill="1" applyBorder="1" applyAlignment="1" applyProtection="1">
      <alignment horizontal="center"/>
      <protection/>
    </xf>
    <xf numFmtId="1" fontId="59" fillId="40" borderId="29" xfId="53" applyNumberFormat="1" applyFont="1" applyFill="1" applyBorder="1" applyAlignment="1" applyProtection="1">
      <alignment horizontal="center"/>
      <protection/>
    </xf>
    <xf numFmtId="184" fontId="59" fillId="35" borderId="13" xfId="53" applyNumberFormat="1" applyFont="1" applyFill="1" applyBorder="1" applyAlignment="1" applyProtection="1">
      <alignment horizontal="center" vertical="top"/>
      <protection/>
    </xf>
    <xf numFmtId="0" fontId="0" fillId="0" borderId="22" xfId="0" applyBorder="1" applyAlignment="1" applyProtection="1">
      <alignment horizontal="center" wrapText="1"/>
      <protection/>
    </xf>
    <xf numFmtId="0" fontId="59" fillId="0" borderId="0" xfId="53" applyFont="1" applyFill="1" applyAlignment="1" applyProtection="1">
      <alignment/>
      <protection/>
    </xf>
    <xf numFmtId="0" fontId="0" fillId="0" borderId="0" xfId="0" applyFont="1" applyFill="1" applyBorder="1" applyAlignment="1">
      <alignment vertical="top"/>
    </xf>
    <xf numFmtId="0" fontId="13" fillId="40" borderId="0" xfId="53" applyFont="1" applyFill="1" applyAlignment="1" applyProtection="1">
      <alignment/>
      <protection/>
    </xf>
    <xf numFmtId="0" fontId="0" fillId="0" borderId="0" xfId="0" applyBorder="1" applyAlignment="1">
      <alignment horizontal="justify" vertical="top"/>
    </xf>
    <xf numFmtId="0" fontId="0" fillId="0" borderId="0" xfId="0" applyFill="1" applyBorder="1" applyAlignment="1" applyProtection="1">
      <alignment/>
      <protection/>
    </xf>
    <xf numFmtId="0" fontId="0" fillId="0" borderId="24" xfId="0" applyFill="1" applyBorder="1" applyAlignment="1" applyProtection="1">
      <alignment/>
      <protection/>
    </xf>
    <xf numFmtId="0" fontId="0" fillId="0" borderId="18" xfId="0" applyBorder="1" applyAlignment="1" applyProtection="1">
      <alignment/>
      <protection/>
    </xf>
    <xf numFmtId="0" fontId="0" fillId="0" borderId="23" xfId="0" applyFont="1" applyBorder="1" applyAlignment="1" applyProtection="1">
      <alignment/>
      <protection/>
    </xf>
    <xf numFmtId="0" fontId="0" fillId="0" borderId="23" xfId="0" applyBorder="1" applyAlignment="1" applyProtection="1">
      <alignment/>
      <protection/>
    </xf>
    <xf numFmtId="0" fontId="0" fillId="0" borderId="0" xfId="0" applyFont="1" applyAlignment="1" quotePrefix="1">
      <alignment horizontal="left"/>
    </xf>
    <xf numFmtId="0" fontId="0" fillId="0" borderId="0" xfId="0" applyFont="1" applyAlignment="1" quotePrefix="1">
      <alignment horizontal="right"/>
    </xf>
    <xf numFmtId="49" fontId="0" fillId="0" borderId="0" xfId="0" applyNumberFormat="1" applyFont="1" applyAlignment="1" quotePrefix="1">
      <alignment horizontal="right"/>
    </xf>
    <xf numFmtId="37" fontId="0" fillId="0" borderId="14" xfId="0" applyNumberFormat="1" applyFont="1" applyFill="1" applyBorder="1" applyAlignment="1" applyProtection="1">
      <alignment/>
      <protection locked="0"/>
    </xf>
    <xf numFmtId="37" fontId="0" fillId="0" borderId="20" xfId="0" applyNumberFormat="1" applyFont="1" applyFill="1" applyBorder="1" applyAlignment="1" applyProtection="1">
      <alignment/>
      <protection locked="0"/>
    </xf>
    <xf numFmtId="37" fontId="0" fillId="0" borderId="0" xfId="0" applyNumberFormat="1" applyFont="1" applyBorder="1" applyAlignment="1" applyProtection="1">
      <alignment horizontal="right"/>
      <protection/>
    </xf>
    <xf numFmtId="184" fontId="0" fillId="35" borderId="22" xfId="0" applyNumberFormat="1" applyFont="1" applyFill="1" applyBorder="1" applyAlignment="1">
      <alignment horizontal="left"/>
    </xf>
    <xf numFmtId="0" fontId="59" fillId="40" borderId="0" xfId="53" applyFont="1" applyFill="1" applyAlignment="1" applyProtection="1">
      <alignment horizontal="right"/>
      <protection/>
    </xf>
    <xf numFmtId="0" fontId="3" fillId="0" borderId="29" xfId="0" applyFont="1" applyFill="1" applyBorder="1" applyAlignment="1">
      <alignment horizontal="center" wrapText="1"/>
    </xf>
    <xf numFmtId="0" fontId="3" fillId="0" borderId="20" xfId="0" applyFont="1" applyFill="1" applyBorder="1" applyAlignment="1">
      <alignment horizontal="center" wrapText="1"/>
    </xf>
    <xf numFmtId="164" fontId="0" fillId="0" borderId="0" xfId="0" applyNumberFormat="1" applyFont="1" applyFill="1" applyBorder="1" applyAlignment="1">
      <alignment horizontal="center"/>
    </xf>
    <xf numFmtId="37" fontId="0" fillId="0" borderId="0" xfId="0" applyNumberFormat="1" applyFont="1" applyBorder="1" applyAlignment="1" applyProtection="1">
      <alignment/>
      <protection/>
    </xf>
    <xf numFmtId="0" fontId="3" fillId="0" borderId="14" xfId="0" applyFont="1" applyFill="1" applyBorder="1" applyAlignment="1">
      <alignment horizontal="center" wrapText="1"/>
    </xf>
    <xf numFmtId="49" fontId="15" fillId="0" borderId="0" xfId="0" applyNumberFormat="1" applyFont="1" applyFill="1" applyBorder="1" applyAlignment="1" applyProtection="1">
      <alignment horizontal="right"/>
      <protection/>
    </xf>
    <xf numFmtId="0" fontId="0" fillId="0" borderId="0" xfId="0" applyFill="1" applyAlignment="1">
      <alignment/>
    </xf>
    <xf numFmtId="184" fontId="62" fillId="0" borderId="0" xfId="0" applyNumberFormat="1" applyFont="1" applyFill="1" applyBorder="1" applyAlignment="1" applyProtection="1">
      <alignment/>
      <protection/>
    </xf>
    <xf numFmtId="184" fontId="0" fillId="0" borderId="0" xfId="0" applyNumberFormat="1" applyFont="1" applyFill="1" applyBorder="1" applyAlignment="1" applyProtection="1">
      <alignment horizontal="center"/>
      <protection/>
    </xf>
    <xf numFmtId="0" fontId="0" fillId="0" borderId="0" xfId="0" applyFill="1" applyBorder="1" applyAlignment="1">
      <alignment/>
    </xf>
    <xf numFmtId="0" fontId="0" fillId="0" borderId="0" xfId="0" applyFont="1" applyFill="1" applyBorder="1" applyAlignment="1">
      <alignment/>
    </xf>
    <xf numFmtId="49" fontId="0" fillId="0" borderId="0" xfId="0" applyNumberFormat="1" applyFont="1" applyBorder="1" applyAlignment="1" quotePrefix="1">
      <alignment horizontal="left"/>
    </xf>
    <xf numFmtId="49" fontId="13" fillId="40" borderId="0" xfId="53" applyNumberFormat="1" applyFont="1" applyFill="1" applyAlignment="1" applyProtection="1">
      <alignment/>
      <protection/>
    </xf>
    <xf numFmtId="37" fontId="0" fillId="0" borderId="10" xfId="0" applyNumberFormat="1" applyFont="1" applyFill="1" applyBorder="1" applyAlignment="1" applyProtection="1">
      <alignment/>
      <protection/>
    </xf>
    <xf numFmtId="0" fontId="16" fillId="0" borderId="0" xfId="0" applyFont="1" applyAlignment="1">
      <alignment/>
    </xf>
    <xf numFmtId="49" fontId="16" fillId="0" borderId="0" xfId="0" applyNumberFormat="1" applyFont="1" applyFill="1" applyBorder="1" applyAlignment="1">
      <alignment vertical="top"/>
    </xf>
    <xf numFmtId="0" fontId="0" fillId="0" borderId="0" xfId="0" applyFill="1" applyBorder="1" applyAlignment="1" applyProtection="1">
      <alignment horizontal="left" wrapText="1"/>
      <protection/>
    </xf>
    <xf numFmtId="0" fontId="0" fillId="0" borderId="0" xfId="0" applyFont="1" applyFill="1" applyBorder="1" applyAlignment="1" applyProtection="1">
      <alignment horizontal="left" wrapText="1"/>
      <protection/>
    </xf>
    <xf numFmtId="0" fontId="0" fillId="0" borderId="0" xfId="0" applyFill="1" applyBorder="1" applyAlignment="1" applyProtection="1">
      <alignment horizontal="left"/>
      <protection/>
    </xf>
    <xf numFmtId="0" fontId="0" fillId="0" borderId="0" xfId="0" applyFont="1" applyFill="1" applyBorder="1" applyAlignment="1" applyProtection="1">
      <alignment horizontal="left"/>
      <protection/>
    </xf>
    <xf numFmtId="0" fontId="0" fillId="0" borderId="0" xfId="0" applyFont="1" applyFill="1" applyBorder="1" applyAlignment="1" applyProtection="1">
      <alignment horizontal="left" vertical="top" wrapText="1"/>
      <protection/>
    </xf>
    <xf numFmtId="0" fontId="0" fillId="0" borderId="10" xfId="0" applyBorder="1" applyAlignment="1" applyProtection="1">
      <alignment horizontal="center"/>
      <protection locked="0"/>
    </xf>
    <xf numFmtId="0" fontId="0" fillId="0" borderId="10" xfId="0" applyBorder="1" applyAlignment="1" applyProtection="1">
      <alignment/>
      <protection/>
    </xf>
    <xf numFmtId="0" fontId="0" fillId="0" borderId="23" xfId="0" applyFont="1" applyBorder="1" applyAlignment="1" applyProtection="1">
      <alignment horizontal="center" vertical="top"/>
      <protection/>
    </xf>
    <xf numFmtId="0" fontId="0" fillId="0" borderId="23" xfId="0" applyBorder="1" applyAlignment="1" applyProtection="1">
      <alignment horizontal="center" vertical="top"/>
      <protection/>
    </xf>
    <xf numFmtId="0" fontId="0" fillId="0" borderId="0" xfId="0" applyBorder="1" applyAlignment="1" applyProtection="1">
      <alignment horizontal="center" vertical="top"/>
      <protection/>
    </xf>
    <xf numFmtId="37" fontId="0" fillId="0" borderId="11" xfId="0" applyNumberFormat="1" applyBorder="1" applyAlignment="1" applyProtection="1">
      <alignment horizontal="right"/>
      <protection/>
    </xf>
    <xf numFmtId="0" fontId="0" fillId="0" borderId="11" xfId="0" applyBorder="1" applyAlignment="1" applyProtection="1">
      <alignment horizontal="right"/>
      <protection/>
    </xf>
    <xf numFmtId="0" fontId="0" fillId="0" borderId="0" xfId="0" applyFont="1" applyFill="1" applyAlignment="1" applyProtection="1">
      <alignment/>
      <protection/>
    </xf>
    <xf numFmtId="0" fontId="0" fillId="0" borderId="0" xfId="0" applyFill="1" applyAlignment="1" applyProtection="1">
      <alignment/>
      <protection/>
    </xf>
    <xf numFmtId="0" fontId="0" fillId="0" borderId="0" xfId="0" applyAlignment="1" applyProtection="1">
      <alignment/>
      <protection/>
    </xf>
    <xf numFmtId="0" fontId="0" fillId="0" borderId="0" xfId="0" applyAlignment="1" applyProtection="1">
      <alignment horizontal="justify" vertical="top" wrapText="1"/>
      <protection/>
    </xf>
    <xf numFmtId="37" fontId="0" fillId="0" borderId="10" xfId="0" applyNumberFormat="1" applyBorder="1" applyAlignment="1" applyProtection="1">
      <alignment horizontal="right"/>
      <protection/>
    </xf>
    <xf numFmtId="0" fontId="0" fillId="0" borderId="10" xfId="0" applyBorder="1" applyAlignment="1" applyProtection="1">
      <alignment horizontal="right"/>
      <protection/>
    </xf>
    <xf numFmtId="0" fontId="14" fillId="0" borderId="0" xfId="0" applyFont="1" applyFill="1" applyBorder="1" applyAlignment="1" applyProtection="1">
      <alignment horizontal="center"/>
      <protection/>
    </xf>
    <xf numFmtId="0" fontId="0" fillId="0" borderId="10" xfId="0" applyBorder="1" applyAlignment="1" applyProtection="1">
      <alignment/>
      <protection locked="0"/>
    </xf>
    <xf numFmtId="0" fontId="10" fillId="0" borderId="0" xfId="0" applyFont="1" applyFill="1" applyAlignment="1" applyProtection="1">
      <alignment horizontal="center"/>
      <protection/>
    </xf>
    <xf numFmtId="0" fontId="0" fillId="0" borderId="23" xfId="0" applyBorder="1" applyAlignment="1" applyProtection="1">
      <alignment horizontal="center"/>
      <protection/>
    </xf>
    <xf numFmtId="0" fontId="1" fillId="0" borderId="0" xfId="0" applyFont="1" applyBorder="1" applyAlignment="1" applyProtection="1">
      <alignment horizontal="left"/>
      <protection/>
    </xf>
    <xf numFmtId="0" fontId="10" fillId="0" borderId="0" xfId="0" applyFont="1" applyBorder="1" applyAlignment="1" applyProtection="1">
      <alignment horizontal="center"/>
      <protection/>
    </xf>
    <xf numFmtId="0" fontId="11" fillId="0" borderId="0" xfId="0" applyFont="1" applyBorder="1" applyAlignment="1" applyProtection="1">
      <alignment horizontal="center"/>
      <protection/>
    </xf>
    <xf numFmtId="0" fontId="0" fillId="0" borderId="0" xfId="0" applyFont="1" applyFill="1" applyBorder="1" applyAlignment="1" applyProtection="1">
      <alignment horizontal="center" wrapText="1"/>
      <protection/>
    </xf>
    <xf numFmtId="0" fontId="0" fillId="0" borderId="0" xfId="0" applyFill="1" applyBorder="1" applyAlignment="1" applyProtection="1">
      <alignment horizontal="center" wrapText="1"/>
      <protection/>
    </xf>
    <xf numFmtId="0" fontId="0" fillId="0" borderId="22" xfId="0" applyFill="1" applyBorder="1" applyAlignment="1" applyProtection="1">
      <alignment horizontal="left"/>
      <protection/>
    </xf>
    <xf numFmtId="0" fontId="0" fillId="0" borderId="0" xfId="0" applyBorder="1" applyAlignment="1" applyProtection="1">
      <alignment horizontal="left" wrapText="1"/>
      <protection/>
    </xf>
    <xf numFmtId="0" fontId="0" fillId="0" borderId="22" xfId="0" applyBorder="1" applyAlignment="1" applyProtection="1">
      <alignment horizontal="left" wrapText="1"/>
      <protection/>
    </xf>
    <xf numFmtId="0" fontId="0" fillId="0" borderId="0" xfId="0" applyBorder="1" applyAlignment="1" applyProtection="1">
      <alignment/>
      <protection/>
    </xf>
    <xf numFmtId="0" fontId="0" fillId="0" borderId="0" xfId="0" applyFont="1" applyAlignment="1">
      <alignment horizontal="left"/>
    </xf>
    <xf numFmtId="0" fontId="0" fillId="0" borderId="0" xfId="0" applyFont="1" applyBorder="1" applyAlignment="1">
      <alignment/>
    </xf>
    <xf numFmtId="0" fontId="0" fillId="0" borderId="0" xfId="0" applyFont="1" applyFill="1" applyBorder="1" applyAlignment="1">
      <alignment/>
    </xf>
    <xf numFmtId="0" fontId="1" fillId="0" borderId="0" xfId="0" applyFont="1" applyAlignment="1">
      <alignment horizontal="left"/>
    </xf>
    <xf numFmtId="0" fontId="0" fillId="0" borderId="10" xfId="0" applyFont="1" applyFill="1" applyBorder="1" applyAlignment="1" applyProtection="1">
      <alignment/>
      <protection locked="0"/>
    </xf>
    <xf numFmtId="0" fontId="1" fillId="0" borderId="0" xfId="0" applyFont="1" applyBorder="1" applyAlignment="1">
      <alignment/>
    </xf>
    <xf numFmtId="0" fontId="0" fillId="0" borderId="22" xfId="0" applyFont="1" applyFill="1" applyBorder="1" applyAlignment="1">
      <alignment/>
    </xf>
    <xf numFmtId="0" fontId="0" fillId="0" borderId="10" xfId="0" applyFont="1" applyBorder="1" applyAlignment="1" applyProtection="1">
      <alignment/>
      <protection locked="0"/>
    </xf>
    <xf numFmtId="49" fontId="0" fillId="0" borderId="10" xfId="0" applyNumberFormat="1" applyFont="1" applyBorder="1" applyAlignment="1">
      <alignment horizontal="center"/>
    </xf>
    <xf numFmtId="0" fontId="0" fillId="0" borderId="10" xfId="0" applyFont="1" applyBorder="1" applyAlignment="1">
      <alignment horizontal="center"/>
    </xf>
    <xf numFmtId="0" fontId="0" fillId="0" borderId="19" xfId="0" applyFont="1" applyBorder="1" applyAlignment="1">
      <alignment horizontal="center" wrapText="1"/>
    </xf>
    <xf numFmtId="0" fontId="0" fillId="0" borderId="22" xfId="0" applyFont="1" applyBorder="1" applyAlignment="1">
      <alignment horizontal="center" wrapText="1"/>
    </xf>
    <xf numFmtId="0" fontId="0" fillId="0" borderId="26" xfId="0" applyFont="1" applyBorder="1" applyAlignment="1">
      <alignment horizontal="center" wrapText="1"/>
    </xf>
    <xf numFmtId="0" fontId="0" fillId="0" borderId="14" xfId="0" applyFont="1" applyBorder="1" applyAlignment="1">
      <alignment horizontal="center"/>
    </xf>
    <xf numFmtId="10" fontId="0" fillId="0" borderId="14" xfId="0" applyNumberFormat="1" applyFont="1" applyFill="1" applyBorder="1" applyAlignment="1" applyProtection="1">
      <alignment/>
      <protection/>
    </xf>
    <xf numFmtId="10" fontId="0" fillId="0" borderId="20" xfId="0" applyNumberFormat="1" applyFont="1" applyFill="1" applyBorder="1" applyAlignment="1" applyProtection="1">
      <alignment/>
      <protection/>
    </xf>
    <xf numFmtId="10" fontId="0" fillId="0" borderId="19" xfId="0" applyNumberFormat="1" applyFont="1" applyFill="1" applyBorder="1" applyAlignment="1" applyProtection="1">
      <alignment/>
      <protection/>
    </xf>
    <xf numFmtId="10" fontId="0" fillId="0" borderId="26" xfId="0" applyNumberFormat="1" applyFont="1" applyFill="1" applyBorder="1" applyAlignment="1" applyProtection="1">
      <alignment/>
      <protection/>
    </xf>
    <xf numFmtId="37" fontId="0" fillId="0" borderId="14" xfId="0" applyNumberFormat="1" applyFont="1" applyBorder="1" applyAlignment="1" applyProtection="1">
      <alignment/>
      <protection/>
    </xf>
    <xf numFmtId="37" fontId="0" fillId="0" borderId="20" xfId="0" applyNumberFormat="1" applyFont="1" applyBorder="1" applyAlignment="1" applyProtection="1">
      <alignment/>
      <protection/>
    </xf>
    <xf numFmtId="37" fontId="0" fillId="0" borderId="22" xfId="0" applyNumberFormat="1" applyFont="1" applyBorder="1" applyAlignment="1" applyProtection="1">
      <alignment/>
      <protection/>
    </xf>
    <xf numFmtId="37" fontId="0" fillId="0" borderId="26" xfId="0" applyNumberFormat="1" applyFont="1" applyBorder="1" applyAlignment="1" applyProtection="1">
      <alignment/>
      <protection/>
    </xf>
    <xf numFmtId="37" fontId="0" fillId="0" borderId="24" xfId="0" applyNumberFormat="1" applyFont="1" applyBorder="1" applyAlignment="1" applyProtection="1">
      <alignment/>
      <protection/>
    </xf>
    <xf numFmtId="37" fontId="0" fillId="0" borderId="25" xfId="0" applyNumberFormat="1" applyFont="1" applyBorder="1" applyAlignment="1" applyProtection="1">
      <alignment/>
      <protection/>
    </xf>
    <xf numFmtId="37" fontId="0" fillId="0" borderId="23" xfId="0" applyNumberFormat="1" applyFont="1" applyBorder="1" applyAlignment="1" applyProtection="1">
      <alignment/>
      <protection/>
    </xf>
    <xf numFmtId="37" fontId="0" fillId="0" borderId="10" xfId="0" applyNumberFormat="1" applyFont="1" applyBorder="1" applyAlignment="1" applyProtection="1">
      <alignment/>
      <protection/>
    </xf>
    <xf numFmtId="37" fontId="0" fillId="0" borderId="29" xfId="57" applyNumberFormat="1" applyFont="1" applyBorder="1" applyProtection="1">
      <alignment/>
      <protection/>
    </xf>
    <xf numFmtId="37" fontId="0" fillId="0" borderId="20" xfId="57" applyNumberFormat="1" applyFont="1" applyBorder="1" applyProtection="1">
      <alignment/>
      <protection/>
    </xf>
    <xf numFmtId="37" fontId="0" fillId="0" borderId="14" xfId="57" applyNumberFormat="1" applyFont="1" applyBorder="1" applyProtection="1">
      <alignment/>
      <protection/>
    </xf>
    <xf numFmtId="0" fontId="0" fillId="0" borderId="27" xfId="57" applyFont="1" applyBorder="1" applyAlignment="1" applyProtection="1">
      <alignment horizontal="center"/>
      <protection/>
    </xf>
    <xf numFmtId="0" fontId="0" fillId="0" borderId="28" xfId="57" applyFont="1" applyBorder="1" applyAlignment="1" applyProtection="1">
      <alignment horizontal="center"/>
      <protection/>
    </xf>
    <xf numFmtId="38" fontId="0" fillId="0" borderId="14" xfId="57" applyNumberFormat="1" applyFont="1" applyBorder="1" applyAlignment="1" applyProtection="1">
      <alignment/>
      <protection/>
    </xf>
    <xf numFmtId="38" fontId="0" fillId="0" borderId="20" xfId="57" applyNumberFormat="1" applyFont="1" applyBorder="1" applyAlignment="1" applyProtection="1">
      <alignment/>
      <protection/>
    </xf>
    <xf numFmtId="38" fontId="0" fillId="0" borderId="14" xfId="57" applyNumberFormat="1" applyFont="1" applyBorder="1" applyProtection="1">
      <alignment/>
      <protection/>
    </xf>
    <xf numFmtId="38" fontId="0" fillId="0" borderId="29" xfId="57" applyNumberFormat="1" applyFont="1" applyBorder="1" applyProtection="1">
      <alignment/>
      <protection/>
    </xf>
    <xf numFmtId="38" fontId="0" fillId="0" borderId="20" xfId="57" applyNumberFormat="1" applyFont="1" applyBorder="1" applyProtection="1">
      <alignment/>
      <protection/>
    </xf>
    <xf numFmtId="167" fontId="0" fillId="0" borderId="19" xfId="57" applyNumberFormat="1" applyFont="1" applyBorder="1" applyAlignment="1" applyProtection="1">
      <alignment/>
      <protection/>
    </xf>
    <xf numFmtId="167" fontId="0" fillId="0" borderId="26" xfId="57" applyNumberFormat="1" applyFont="1" applyBorder="1" applyAlignment="1" applyProtection="1">
      <alignment/>
      <protection/>
    </xf>
    <xf numFmtId="38" fontId="0" fillId="0" borderId="14" xfId="57" applyNumberFormat="1" applyFont="1" applyFill="1" applyBorder="1" applyProtection="1">
      <alignment/>
      <protection/>
    </xf>
    <xf numFmtId="38" fontId="0" fillId="0" borderId="20" xfId="57" applyNumberFormat="1" applyFont="1" applyFill="1" applyBorder="1" applyProtection="1">
      <alignment/>
      <protection/>
    </xf>
    <xf numFmtId="0" fontId="1" fillId="0" borderId="18" xfId="0" applyFont="1" applyBorder="1" applyAlignment="1" applyProtection="1">
      <alignment horizontal="left" vertical="center"/>
      <protection/>
    </xf>
    <xf numFmtId="0" fontId="1" fillId="0" borderId="23" xfId="0" applyFont="1" applyBorder="1" applyAlignment="1" applyProtection="1">
      <alignment horizontal="left" vertical="center"/>
      <protection/>
    </xf>
    <xf numFmtId="0" fontId="1" fillId="0" borderId="19" xfId="0" applyFont="1" applyBorder="1" applyAlignment="1" applyProtection="1">
      <alignment horizontal="left" vertical="center"/>
      <protection/>
    </xf>
    <xf numFmtId="0" fontId="1" fillId="0" borderId="24" xfId="0" applyFont="1" applyBorder="1" applyAlignment="1" applyProtection="1">
      <alignment horizontal="left" vertical="center"/>
      <protection/>
    </xf>
    <xf numFmtId="0" fontId="1" fillId="0" borderId="0" xfId="0" applyFont="1" applyBorder="1" applyAlignment="1" applyProtection="1">
      <alignment horizontal="left" vertical="center"/>
      <protection/>
    </xf>
    <xf numFmtId="0" fontId="1" fillId="0" borderId="25" xfId="0" applyFont="1" applyBorder="1" applyAlignment="1" applyProtection="1">
      <alignment horizontal="left" vertical="center"/>
      <protection/>
    </xf>
    <xf numFmtId="0" fontId="1" fillId="0" borderId="10" xfId="0" applyFont="1" applyBorder="1" applyAlignment="1" applyProtection="1">
      <alignment horizontal="left" vertical="center"/>
      <protection/>
    </xf>
    <xf numFmtId="0" fontId="0" fillId="0" borderId="27" xfId="0" applyFont="1" applyBorder="1" applyAlignment="1">
      <alignment horizontal="left"/>
    </xf>
    <xf numFmtId="0" fontId="0" fillId="0" borderId="11" xfId="0" applyFont="1" applyBorder="1" applyAlignment="1">
      <alignment horizontal="left"/>
    </xf>
    <xf numFmtId="38" fontId="0" fillId="0" borderId="14" xfId="57" applyNumberFormat="1" applyFont="1" applyFill="1" applyBorder="1" applyAlignment="1" applyProtection="1">
      <alignment/>
      <protection/>
    </xf>
    <xf numFmtId="38" fontId="0" fillId="0" borderId="20" xfId="57" applyNumberFormat="1" applyFont="1" applyFill="1" applyBorder="1" applyAlignment="1" applyProtection="1">
      <alignment/>
      <protection/>
    </xf>
    <xf numFmtId="0" fontId="1" fillId="0" borderId="10" xfId="57" applyFont="1" applyBorder="1" applyAlignment="1" applyProtection="1">
      <alignment horizontal="center"/>
      <protection/>
    </xf>
    <xf numFmtId="0" fontId="1" fillId="0" borderId="0" xfId="57" applyFont="1" applyBorder="1" applyAlignment="1" applyProtection="1">
      <alignment horizontal="center"/>
      <protection/>
    </xf>
    <xf numFmtId="0" fontId="0" fillId="0" borderId="10" xfId="57" applyFont="1" applyBorder="1" applyAlignment="1" applyProtection="1">
      <alignment horizontal="center"/>
      <protection/>
    </xf>
    <xf numFmtId="0" fontId="0" fillId="0" borderId="14" xfId="57" applyFont="1" applyBorder="1" applyAlignment="1" applyProtection="1">
      <alignment horizontal="center" wrapText="1"/>
      <protection/>
    </xf>
    <xf numFmtId="0" fontId="0" fillId="0" borderId="29" xfId="57" applyFont="1" applyBorder="1" applyAlignment="1" applyProtection="1">
      <alignment horizontal="center" wrapText="1"/>
      <protection/>
    </xf>
    <xf numFmtId="0" fontId="0" fillId="0" borderId="20" xfId="57" applyFont="1" applyBorder="1" applyAlignment="1" applyProtection="1">
      <alignment horizontal="center" wrapText="1"/>
      <protection/>
    </xf>
    <xf numFmtId="49" fontId="0" fillId="0" borderId="10" xfId="57" applyNumberFormat="1" applyFont="1" applyBorder="1" applyAlignment="1" applyProtection="1">
      <alignment horizontal="center"/>
      <protection/>
    </xf>
    <xf numFmtId="38" fontId="0" fillId="0" borderId="29" xfId="57" applyNumberFormat="1" applyFont="1" applyFill="1" applyBorder="1" applyProtection="1">
      <alignment/>
      <protection/>
    </xf>
    <xf numFmtId="38" fontId="0" fillId="0" borderId="14" xfId="57" applyNumberFormat="1" applyFont="1" applyFill="1" applyBorder="1" applyAlignment="1" applyProtection="1">
      <alignment horizontal="right"/>
      <protection/>
    </xf>
    <xf numFmtId="38" fontId="0" fillId="0" borderId="20" xfId="57" applyNumberFormat="1" applyFont="1" applyFill="1" applyBorder="1" applyAlignment="1" applyProtection="1">
      <alignment horizontal="right"/>
      <protection/>
    </xf>
    <xf numFmtId="38" fontId="0" fillId="0" borderId="13" xfId="0" applyNumberFormat="1" applyFont="1" applyFill="1" applyBorder="1" applyAlignment="1" applyProtection="1">
      <alignment/>
      <protection/>
    </xf>
    <xf numFmtId="0" fontId="0" fillId="36" borderId="14" xfId="0" applyFill="1" applyBorder="1" applyAlignment="1" applyProtection="1">
      <alignment horizontal="center"/>
      <protection/>
    </xf>
    <xf numFmtId="0" fontId="0" fillId="36" borderId="20" xfId="0" applyFill="1" applyBorder="1" applyAlignment="1" applyProtection="1">
      <alignment horizontal="center"/>
      <protection/>
    </xf>
    <xf numFmtId="0" fontId="0" fillId="37" borderId="14" xfId="0" applyFill="1" applyBorder="1" applyAlignment="1" applyProtection="1">
      <alignment horizontal="center"/>
      <protection/>
    </xf>
    <xf numFmtId="0" fontId="0" fillId="37" borderId="20" xfId="0" applyFill="1" applyBorder="1" applyAlignment="1" applyProtection="1">
      <alignment horizontal="center"/>
      <protection/>
    </xf>
    <xf numFmtId="0" fontId="0" fillId="0" borderId="27" xfId="0" applyFont="1" applyBorder="1" applyAlignment="1" applyProtection="1">
      <alignment horizontal="center"/>
      <protection/>
    </xf>
    <xf numFmtId="0" fontId="0" fillId="0" borderId="11" xfId="0" applyFont="1" applyBorder="1" applyAlignment="1" applyProtection="1">
      <alignment horizontal="center"/>
      <protection/>
    </xf>
    <xf numFmtId="38" fontId="0" fillId="0" borderId="14" xfId="0" applyNumberFormat="1" applyFont="1" applyFill="1" applyBorder="1" applyAlignment="1" applyProtection="1">
      <alignment/>
      <protection/>
    </xf>
    <xf numFmtId="38" fontId="0" fillId="0" borderId="20" xfId="0" applyNumberFormat="1" applyFont="1" applyFill="1" applyBorder="1" applyAlignment="1" applyProtection="1">
      <alignment/>
      <protection/>
    </xf>
    <xf numFmtId="38" fontId="0" fillId="0" borderId="14" xfId="0" applyNumberFormat="1" applyFont="1" applyFill="1" applyBorder="1" applyAlignment="1" applyProtection="1">
      <alignment horizontal="right"/>
      <protection/>
    </xf>
    <xf numFmtId="38" fontId="0" fillId="0" borderId="29" xfId="0" applyNumberFormat="1" applyFont="1" applyFill="1" applyBorder="1" applyAlignment="1" applyProtection="1">
      <alignment horizontal="right"/>
      <protection/>
    </xf>
    <xf numFmtId="38" fontId="0" fillId="0" borderId="20" xfId="0" applyNumberFormat="1" applyFont="1" applyFill="1" applyBorder="1" applyAlignment="1" applyProtection="1">
      <alignment horizontal="right"/>
      <protection/>
    </xf>
    <xf numFmtId="38" fontId="0" fillId="37" borderId="14" xfId="0" applyNumberFormat="1" applyFont="1" applyFill="1" applyBorder="1" applyAlignment="1" applyProtection="1">
      <alignment horizontal="center"/>
      <protection/>
    </xf>
    <xf numFmtId="38" fontId="0" fillId="37" borderId="20" xfId="0" applyNumberFormat="1" applyFont="1" applyFill="1" applyBorder="1" applyAlignment="1" applyProtection="1">
      <alignment horizontal="center"/>
      <protection/>
    </xf>
    <xf numFmtId="38" fontId="0" fillId="0" borderId="14" xfId="0" applyNumberFormat="1" applyFont="1" applyBorder="1" applyAlignment="1" applyProtection="1">
      <alignment horizontal="right"/>
      <protection/>
    </xf>
    <xf numFmtId="38" fontId="0" fillId="0" borderId="29" xfId="0" applyNumberFormat="1" applyFont="1" applyBorder="1" applyAlignment="1" applyProtection="1">
      <alignment horizontal="right"/>
      <protection/>
    </xf>
    <xf numFmtId="38" fontId="0" fillId="0" borderId="20" xfId="0" applyNumberFormat="1" applyFont="1" applyBorder="1" applyAlignment="1" applyProtection="1">
      <alignment horizontal="right"/>
      <protection/>
    </xf>
    <xf numFmtId="0" fontId="0" fillId="0" borderId="10" xfId="0" applyFont="1" applyBorder="1" applyAlignment="1" applyProtection="1">
      <alignment horizontal="center"/>
      <protection/>
    </xf>
    <xf numFmtId="0" fontId="1" fillId="0" borderId="10" xfId="0" applyFont="1" applyBorder="1" applyAlignment="1" applyProtection="1">
      <alignment horizontal="center"/>
      <protection/>
    </xf>
    <xf numFmtId="0" fontId="1" fillId="0" borderId="0" xfId="0" applyFont="1" applyBorder="1" applyAlignment="1" applyProtection="1">
      <alignment horizontal="center"/>
      <protection/>
    </xf>
    <xf numFmtId="38" fontId="0" fillId="36" borderId="14" xfId="0" applyNumberFormat="1" applyFont="1" applyFill="1" applyBorder="1" applyAlignment="1" applyProtection="1">
      <alignment horizontal="center"/>
      <protection/>
    </xf>
    <xf numFmtId="38" fontId="0" fillId="36" borderId="29" xfId="0" applyNumberFormat="1" applyFont="1" applyFill="1" applyBorder="1" applyAlignment="1" applyProtection="1">
      <alignment horizontal="center"/>
      <protection/>
    </xf>
    <xf numFmtId="38" fontId="0" fillId="36" borderId="13" xfId="0" applyNumberFormat="1" applyFont="1" applyFill="1" applyBorder="1" applyAlignment="1" applyProtection="1">
      <alignment horizontal="center"/>
      <protection/>
    </xf>
    <xf numFmtId="167" fontId="0" fillId="36" borderId="14" xfId="0" applyNumberFormat="1" applyFont="1" applyFill="1" applyBorder="1" applyAlignment="1" applyProtection="1">
      <alignment horizontal="center"/>
      <protection/>
    </xf>
    <xf numFmtId="167" fontId="0" fillId="36" borderId="29" xfId="0" applyNumberFormat="1" applyFont="1" applyFill="1" applyBorder="1" applyAlignment="1" applyProtection="1">
      <alignment horizontal="center"/>
      <protection/>
    </xf>
    <xf numFmtId="167" fontId="0" fillId="36" borderId="20" xfId="0" applyNumberFormat="1" applyFont="1" applyFill="1" applyBorder="1" applyAlignment="1" applyProtection="1">
      <alignment horizontal="center"/>
      <protection/>
    </xf>
    <xf numFmtId="38" fontId="0" fillId="0" borderId="29" xfId="0" applyNumberFormat="1" applyFont="1" applyFill="1" applyBorder="1" applyAlignment="1" applyProtection="1">
      <alignment/>
      <protection/>
    </xf>
    <xf numFmtId="38" fontId="0" fillId="0" borderId="14" xfId="0" applyNumberFormat="1" applyFont="1" applyBorder="1" applyAlignment="1" applyProtection="1">
      <alignment/>
      <protection/>
    </xf>
    <xf numFmtId="38" fontId="0" fillId="0" borderId="29" xfId="0" applyNumberFormat="1" applyFont="1" applyBorder="1" applyAlignment="1" applyProtection="1">
      <alignment/>
      <protection/>
    </xf>
    <xf numFmtId="38" fontId="0" fillId="0" borderId="20" xfId="0" applyNumberFormat="1" applyFont="1" applyBorder="1" applyAlignment="1" applyProtection="1">
      <alignment/>
      <protection/>
    </xf>
    <xf numFmtId="0" fontId="0" fillId="36" borderId="13" xfId="0" applyFill="1" applyBorder="1" applyAlignment="1" applyProtection="1">
      <alignment horizontal="center"/>
      <protection/>
    </xf>
    <xf numFmtId="0" fontId="3" fillId="0" borderId="18" xfId="0" applyFont="1" applyFill="1" applyBorder="1" applyAlignment="1">
      <alignment horizontal="center" wrapText="1"/>
    </xf>
    <xf numFmtId="0" fontId="3" fillId="0" borderId="23" xfId="0" applyFont="1" applyFill="1" applyBorder="1" applyAlignment="1">
      <alignment horizontal="center" wrapText="1"/>
    </xf>
    <xf numFmtId="0" fontId="3" fillId="0" borderId="19" xfId="0" applyFont="1" applyFill="1" applyBorder="1" applyAlignment="1">
      <alignment horizontal="center" wrapText="1"/>
    </xf>
    <xf numFmtId="0" fontId="59" fillId="40" borderId="0" xfId="53" applyFont="1" applyFill="1" applyAlignment="1" applyProtection="1">
      <alignment horizontal="center" vertical="top" wrapText="1"/>
      <protection/>
    </xf>
    <xf numFmtId="0" fontId="59" fillId="40" borderId="22" xfId="53" applyFont="1" applyFill="1" applyBorder="1" applyAlignment="1" applyProtection="1">
      <alignment horizontal="center" vertical="top" wrapText="1"/>
      <protection/>
    </xf>
    <xf numFmtId="37" fontId="0" fillId="0" borderId="27" xfId="0" applyNumberFormat="1" applyFont="1" applyBorder="1" applyAlignment="1" applyProtection="1">
      <alignment horizontal="right"/>
      <protection locked="0"/>
    </xf>
    <xf numFmtId="37" fontId="0" fillId="0" borderId="11" xfId="0" applyNumberFormat="1" applyFont="1" applyBorder="1" applyAlignment="1" applyProtection="1">
      <alignment horizontal="right"/>
      <protection locked="0"/>
    </xf>
    <xf numFmtId="37" fontId="0" fillId="0" borderId="28" xfId="0" applyNumberFormat="1" applyFont="1" applyBorder="1" applyAlignment="1" applyProtection="1">
      <alignment horizontal="right"/>
      <protection locked="0"/>
    </xf>
    <xf numFmtId="0" fontId="3" fillId="0" borderId="24" xfId="0" applyFont="1" applyFill="1" applyBorder="1" applyAlignment="1">
      <alignment horizontal="center" wrapText="1"/>
    </xf>
    <xf numFmtId="0" fontId="3" fillId="0" borderId="0" xfId="0" applyFont="1" applyFill="1" applyBorder="1" applyAlignment="1">
      <alignment horizontal="center" wrapText="1"/>
    </xf>
    <xf numFmtId="0" fontId="3" fillId="0" borderId="22" xfId="0" applyFont="1" applyFill="1" applyBorder="1" applyAlignment="1">
      <alignment horizontal="center" wrapText="1"/>
    </xf>
    <xf numFmtId="0" fontId="13" fillId="40" borderId="0" xfId="53" applyFont="1" applyFill="1" applyAlignment="1" applyProtection="1">
      <alignment horizontal="left" vertical="top" wrapText="1"/>
      <protection/>
    </xf>
    <xf numFmtId="0" fontId="3" fillId="0" borderId="25" xfId="0" applyFont="1" applyFill="1" applyBorder="1" applyAlignment="1">
      <alignment horizontal="center" wrapText="1"/>
    </xf>
    <xf numFmtId="0" fontId="3" fillId="0" borderId="26" xfId="0" applyFont="1" applyFill="1" applyBorder="1" applyAlignment="1">
      <alignment horizontal="center" wrapText="1"/>
    </xf>
    <xf numFmtId="37" fontId="0" fillId="0" borderId="13" xfId="0" applyNumberFormat="1" applyFont="1" applyBorder="1" applyAlignment="1" applyProtection="1">
      <alignment horizontal="right"/>
      <protection locked="0"/>
    </xf>
    <xf numFmtId="49" fontId="13" fillId="40" borderId="0" xfId="53" applyNumberFormat="1" applyFont="1" applyFill="1" applyBorder="1" applyAlignment="1" applyProtection="1">
      <alignment horizontal="left" vertical="top" wrapText="1"/>
      <protection/>
    </xf>
    <xf numFmtId="0" fontId="3" fillId="0" borderId="10" xfId="0" applyFont="1" applyFill="1" applyBorder="1" applyAlignment="1">
      <alignment horizontal="center" wrapText="1"/>
    </xf>
    <xf numFmtId="37" fontId="0" fillId="0" borderId="31" xfId="0" applyNumberFormat="1" applyFont="1" applyBorder="1" applyAlignment="1">
      <alignment/>
    </xf>
    <xf numFmtId="37" fontId="0" fillId="0" borderId="17" xfId="0" applyNumberFormat="1" applyFont="1" applyBorder="1" applyAlignment="1">
      <alignment/>
    </xf>
    <xf numFmtId="0" fontId="59" fillId="40" borderId="0" xfId="53" applyFont="1" applyFill="1" applyAlignment="1" applyProtection="1">
      <alignment horizontal="left"/>
      <protection/>
    </xf>
    <xf numFmtId="0" fontId="59" fillId="40" borderId="0" xfId="53" applyFont="1" applyFill="1" applyBorder="1" applyAlignment="1" applyProtection="1">
      <alignment horizontal="left" wrapText="1"/>
      <protection/>
    </xf>
    <xf numFmtId="0" fontId="13" fillId="40" borderId="0" xfId="53" applyFont="1" applyFill="1" applyAlignment="1" applyProtection="1">
      <alignment horizontal="left"/>
      <protection/>
    </xf>
    <xf numFmtId="0" fontId="13" fillId="40" borderId="0" xfId="53" applyFont="1" applyFill="1" applyAlignment="1" applyProtection="1">
      <alignment vertical="top" wrapText="1"/>
      <protection/>
    </xf>
    <xf numFmtId="0" fontId="0" fillId="0" borderId="27" xfId="0" applyFont="1" applyBorder="1" applyAlignment="1">
      <alignment horizontal="center"/>
    </xf>
    <xf numFmtId="0" fontId="0" fillId="0" borderId="11" xfId="0" applyFont="1" applyBorder="1" applyAlignment="1">
      <alignment horizontal="center"/>
    </xf>
    <xf numFmtId="0" fontId="0" fillId="0" borderId="28" xfId="0" applyFont="1" applyBorder="1" applyAlignment="1">
      <alignment horizontal="center"/>
    </xf>
    <xf numFmtId="0" fontId="59" fillId="40" borderId="0" xfId="53" applyFont="1" applyFill="1" applyAlignment="1" applyProtection="1">
      <alignment horizontal="center"/>
      <protection/>
    </xf>
    <xf numFmtId="0" fontId="59" fillId="40" borderId="0" xfId="53" applyFont="1" applyFill="1" applyBorder="1" applyAlignment="1" applyProtection="1">
      <alignment horizontal="center"/>
      <protection/>
    </xf>
    <xf numFmtId="0" fontId="0" fillId="0" borderId="25" xfId="0" applyFont="1" applyBorder="1" applyAlignment="1">
      <alignment horizontal="center"/>
    </xf>
    <xf numFmtId="0" fontId="0" fillId="0" borderId="26" xfId="0" applyFont="1" applyBorder="1" applyAlignment="1">
      <alignment horizontal="center"/>
    </xf>
    <xf numFmtId="184" fontId="0" fillId="35" borderId="0" xfId="0" applyNumberFormat="1" applyFont="1" applyFill="1" applyBorder="1" applyAlignment="1">
      <alignment horizontal="left"/>
    </xf>
    <xf numFmtId="184" fontId="0" fillId="35" borderId="22" xfId="0" applyNumberFormat="1" applyFont="1" applyFill="1" applyBorder="1" applyAlignment="1">
      <alignment horizontal="left"/>
    </xf>
    <xf numFmtId="184" fontId="0" fillId="35" borderId="0" xfId="0" applyNumberFormat="1" applyFont="1" applyFill="1" applyAlignment="1">
      <alignment horizontal="left"/>
    </xf>
    <xf numFmtId="184" fontId="13" fillId="40" borderId="27" xfId="53" applyNumberFormat="1" applyFont="1" applyFill="1" applyBorder="1" applyAlignment="1" applyProtection="1">
      <alignment horizontal="center"/>
      <protection/>
    </xf>
    <xf numFmtId="184" fontId="13" fillId="40" borderId="11" xfId="53" applyNumberFormat="1" applyFont="1" applyFill="1" applyBorder="1" applyAlignment="1" applyProtection="1">
      <alignment horizontal="center"/>
      <protection/>
    </xf>
    <xf numFmtId="184" fontId="13" fillId="40" borderId="28" xfId="53" applyNumberFormat="1" applyFont="1" applyFill="1" applyBorder="1" applyAlignment="1" applyProtection="1">
      <alignment horizontal="center"/>
      <protection/>
    </xf>
    <xf numFmtId="184" fontId="1" fillId="35" borderId="0" xfId="0" applyNumberFormat="1" applyFont="1" applyFill="1" applyAlignment="1">
      <alignment horizontal="left"/>
    </xf>
    <xf numFmtId="49" fontId="0" fillId="0" borderId="0" xfId="0" applyNumberFormat="1" applyFont="1" applyBorder="1" applyAlignment="1">
      <alignment horizontal="center"/>
    </xf>
    <xf numFmtId="0" fontId="0" fillId="0" borderId="0" xfId="0" applyFont="1" applyBorder="1" applyAlignment="1">
      <alignment horizontal="center"/>
    </xf>
    <xf numFmtId="165" fontId="0" fillId="35" borderId="0" xfId="0" applyNumberFormat="1" applyFont="1" applyFill="1" applyBorder="1" applyAlignment="1">
      <alignment horizontal="right"/>
    </xf>
    <xf numFmtId="184" fontId="1" fillId="35" borderId="0" xfId="0" applyNumberFormat="1" applyFont="1" applyFill="1" applyBorder="1" applyAlignment="1">
      <alignment horizontal="center" vertical="center"/>
    </xf>
    <xf numFmtId="0" fontId="0" fillId="0" borderId="0" xfId="0" applyFont="1" applyFill="1" applyAlignment="1">
      <alignment horizontal="left"/>
    </xf>
    <xf numFmtId="0" fontId="0" fillId="0" borderId="22" xfId="0" applyFont="1" applyFill="1" applyBorder="1" applyAlignment="1">
      <alignment horizontal="left"/>
    </xf>
    <xf numFmtId="184" fontId="13" fillId="35" borderId="18" xfId="53" applyNumberFormat="1" applyFont="1" applyFill="1" applyBorder="1" applyAlignment="1" applyProtection="1">
      <alignment horizontal="center" vertical="center"/>
      <protection/>
    </xf>
    <xf numFmtId="184" fontId="13" fillId="35" borderId="19" xfId="53" applyNumberFormat="1" applyFont="1" applyFill="1" applyBorder="1" applyAlignment="1" applyProtection="1">
      <alignment horizontal="center" vertical="center"/>
      <protection/>
    </xf>
    <xf numFmtId="184" fontId="13" fillId="35" borderId="24" xfId="53" applyNumberFormat="1" applyFont="1" applyFill="1" applyBorder="1" applyAlignment="1" applyProtection="1">
      <alignment horizontal="center" vertical="center"/>
      <protection/>
    </xf>
    <xf numFmtId="184" fontId="13" fillId="35" borderId="22" xfId="53" applyNumberFormat="1" applyFont="1" applyFill="1" applyBorder="1" applyAlignment="1" applyProtection="1">
      <alignment horizontal="center" vertical="center"/>
      <protection/>
    </xf>
    <xf numFmtId="184" fontId="13" fillId="35" borderId="25" xfId="53" applyNumberFormat="1" applyFont="1" applyFill="1" applyBorder="1" applyAlignment="1" applyProtection="1">
      <alignment horizontal="center" vertical="center"/>
      <protection/>
    </xf>
    <xf numFmtId="184" fontId="13" fillId="35" borderId="26" xfId="53" applyNumberFormat="1" applyFont="1" applyFill="1" applyBorder="1" applyAlignment="1" applyProtection="1">
      <alignment horizontal="center"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udget03" xfId="57"/>
    <cellStyle name="Note" xfId="58"/>
    <cellStyle name="Output" xfId="59"/>
    <cellStyle name="Percent" xfId="60"/>
    <cellStyle name="Title" xfId="61"/>
    <cellStyle name="Total" xfId="62"/>
    <cellStyle name="Warning Text" xfId="63"/>
  </cellStyles>
  <dxfs count="4">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externalLink" Target="externalLinks/externalLink4.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NameCountyCTDSNumber"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GeneralPage1"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hyperlink" Target="#ExpensesPage2" /><Relationship Id="rId2"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hyperlink" Target="#CurrentAssetsCurrentLiabilities" /><Relationship Id="rId2" Type="http://schemas.openxmlformats.org/officeDocument/2006/relationships/image" Target="../media/image4.png" /><Relationship Id="rId3" Type="http://schemas.openxmlformats.org/officeDocument/2006/relationships/image" Target="../media/image5.png" /><Relationship Id="rId4" Type="http://schemas.openxmlformats.org/officeDocument/2006/relationships/image" Target="../media/image6.png" /></Relationships>
</file>

<file path=xl/drawings/_rels/drawing5.xml.rels><?xml version="1.0" encoding="utf-8" standalone="yes"?><Relationships xmlns="http://schemas.openxmlformats.org/package/2006/relationships"><Relationship Id="rId1" Type="http://schemas.openxmlformats.org/officeDocument/2006/relationships/hyperlink" Target="#TotalEnrollment" /><Relationship Id="rId2" Type="http://schemas.openxmlformats.org/officeDocument/2006/relationships/image" Target="../media/image7.png" /></Relationships>
</file>

<file path=xl/drawings/_rels/drawing6.xml.rels><?xml version="1.0" encoding="utf-8" standalone="yes"?><Relationships xmlns="http://schemas.openxmlformats.org/package/2006/relationships"><Relationship Id="rId1" Type="http://schemas.openxmlformats.org/officeDocument/2006/relationships/hyperlink" Target="#FederalAndStateProjectsPage9" /><Relationship Id="rId2" Type="http://schemas.openxmlformats.org/officeDocument/2006/relationships/image" Target="../media/image8.png" /></Relationships>
</file>

<file path=xl/drawings/_rels/drawing7.xml.rels><?xml version="1.0" encoding="utf-8" standalone="yes"?><Relationships xmlns="http://schemas.openxmlformats.org/package/2006/relationships"><Relationship Id="rId1" Type="http://schemas.openxmlformats.org/officeDocument/2006/relationships/hyperlink" Target="#GeneralPage10" /><Relationship Id="rId2" Type="http://schemas.openxmlformats.org/officeDocument/2006/relationships/image" Target="../media/image9.png" /><Relationship Id="rId3" Type="http://schemas.openxmlformats.org/officeDocument/2006/relationships/image" Target="../media/image1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2</xdr:col>
      <xdr:colOff>47625</xdr:colOff>
      <xdr:row>5</xdr:row>
      <xdr:rowOff>114300</xdr:rowOff>
    </xdr:to>
    <xdr:sp>
      <xdr:nvSpPr>
        <xdr:cNvPr id="1" name="TextBox 2">
          <a:hlinkClick r:id="rId1"/>
        </xdr:cNvPr>
        <xdr:cNvSpPr txBox="1">
          <a:spLocks noChangeArrowheads="1"/>
        </xdr:cNvSpPr>
      </xdr:nvSpPr>
      <xdr:spPr>
        <a:xfrm>
          <a:off x="0" y="647700"/>
          <a:ext cx="962025" cy="276225"/>
        </a:xfrm>
        <a:prstGeom prst="rect">
          <a:avLst/>
        </a:prstGeom>
        <a:solidFill>
          <a:srgbClr val="00B0F0"/>
        </a:solidFill>
        <a:ln w="9525" cmpd="sng">
          <a:solidFill>
            <a:srgbClr val="BCBCBC"/>
          </a:solidFill>
          <a:headEnd type="none"/>
          <a:tailEnd type="none"/>
        </a:ln>
      </xdr:spPr>
      <xdr:txBody>
        <a:bodyPr vertOverflow="clip" wrap="square" lIns="0" tIns="45720" rIns="0" bIns="45720" anchor="ctr"/>
        <a:p>
          <a:pPr algn="ctr">
            <a:defRPr/>
          </a:pPr>
          <a:r>
            <a:rPr lang="en-US" cap="none" sz="1200" b="0" i="0" u="none" baseline="0">
              <a:solidFill>
                <a:srgbClr val="000000"/>
              </a:solidFill>
              <a:latin typeface="Times New Roman"/>
              <a:ea typeface="Times New Roman"/>
              <a:cs typeface="Times New Roman"/>
            </a:rPr>
            <a:t>Instructions</a:t>
          </a:r>
        </a:p>
      </xdr:txBody>
    </xdr:sp>
    <xdr:clientData fPrintsWithSheet="0"/>
  </xdr:twoCellAnchor>
  <xdr:twoCellAnchor editAs="oneCell">
    <xdr:from>
      <xdr:col>18</xdr:col>
      <xdr:colOff>57150</xdr:colOff>
      <xdr:row>2</xdr:row>
      <xdr:rowOff>57150</xdr:rowOff>
    </xdr:from>
    <xdr:to>
      <xdr:col>32</xdr:col>
      <xdr:colOff>400050</xdr:colOff>
      <xdr:row>8</xdr:row>
      <xdr:rowOff>47625</xdr:rowOff>
    </xdr:to>
    <xdr:pic>
      <xdr:nvPicPr>
        <xdr:cNvPr id="2" name="Picture 1"/>
        <xdr:cNvPicPr preferRelativeResize="1">
          <a:picLocks noChangeAspect="1"/>
        </xdr:cNvPicPr>
      </xdr:nvPicPr>
      <xdr:blipFill>
        <a:blip r:embed="rId2"/>
        <a:stretch>
          <a:fillRect/>
        </a:stretch>
      </xdr:blipFill>
      <xdr:spPr>
        <a:xfrm>
          <a:off x="10229850" y="381000"/>
          <a:ext cx="7810500" cy="1162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xdr:row>
      <xdr:rowOff>0</xdr:rowOff>
    </xdr:from>
    <xdr:to>
      <xdr:col>4</xdr:col>
      <xdr:colOff>171450</xdr:colOff>
      <xdr:row>3</xdr:row>
      <xdr:rowOff>114300</xdr:rowOff>
    </xdr:to>
    <xdr:sp>
      <xdr:nvSpPr>
        <xdr:cNvPr id="1" name="TextBox 1">
          <a:hlinkClick r:id="rId1"/>
        </xdr:cNvPr>
        <xdr:cNvSpPr txBox="1">
          <a:spLocks noChangeArrowheads="1"/>
        </xdr:cNvSpPr>
      </xdr:nvSpPr>
      <xdr:spPr>
        <a:xfrm>
          <a:off x="3114675" y="323850"/>
          <a:ext cx="962025" cy="276225"/>
        </a:xfrm>
        <a:prstGeom prst="rect">
          <a:avLst/>
        </a:prstGeom>
        <a:solidFill>
          <a:srgbClr val="00B0F0"/>
        </a:solidFill>
        <a:ln w="9525" cmpd="sng">
          <a:solidFill>
            <a:srgbClr val="BCBCBC"/>
          </a:solidFill>
          <a:headEnd type="none"/>
          <a:tailEnd type="none"/>
        </a:ln>
      </xdr:spPr>
      <xdr:txBody>
        <a:bodyPr vertOverflow="clip" wrap="square" lIns="0" tIns="45720" rIns="0" bIns="45720" anchor="ctr"/>
        <a:p>
          <a:pPr algn="ctr">
            <a:defRPr/>
          </a:pPr>
          <a:r>
            <a:rPr lang="en-US" cap="none" sz="1200" b="0" i="0" u="none" baseline="0">
              <a:solidFill>
                <a:srgbClr val="000000"/>
              </a:solidFill>
              <a:latin typeface="Times New Roman"/>
              <a:ea typeface="Times New Roman"/>
              <a:cs typeface="Times New Roman"/>
            </a:rPr>
            <a:t>Instructions</a:t>
          </a:r>
        </a:p>
      </xdr:txBody>
    </xdr:sp>
    <xdr:clientData fPrintsWithSheet="0"/>
  </xdr:twoCellAnchor>
  <xdr:twoCellAnchor editAs="oneCell">
    <xdr:from>
      <xdr:col>14</xdr:col>
      <xdr:colOff>28575</xdr:colOff>
      <xdr:row>2</xdr:row>
      <xdr:rowOff>28575</xdr:rowOff>
    </xdr:from>
    <xdr:to>
      <xdr:col>28</xdr:col>
      <xdr:colOff>371475</xdr:colOff>
      <xdr:row>23</xdr:row>
      <xdr:rowOff>104775</xdr:rowOff>
    </xdr:to>
    <xdr:pic>
      <xdr:nvPicPr>
        <xdr:cNvPr id="2" name="Picture 2"/>
        <xdr:cNvPicPr preferRelativeResize="1">
          <a:picLocks noChangeAspect="1"/>
        </xdr:cNvPicPr>
      </xdr:nvPicPr>
      <xdr:blipFill>
        <a:blip r:embed="rId2"/>
        <a:stretch>
          <a:fillRect/>
        </a:stretch>
      </xdr:blipFill>
      <xdr:spPr>
        <a:xfrm>
          <a:off x="9658350" y="352425"/>
          <a:ext cx="7810500" cy="3476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1038225</xdr:colOff>
      <xdr:row>2</xdr:row>
      <xdr:rowOff>28575</xdr:rowOff>
    </xdr:from>
    <xdr:to>
      <xdr:col>2</xdr:col>
      <xdr:colOff>171450</xdr:colOff>
      <xdr:row>4</xdr:row>
      <xdr:rowOff>0</xdr:rowOff>
    </xdr:to>
    <xdr:sp>
      <xdr:nvSpPr>
        <xdr:cNvPr id="1" name="TextBox 4">
          <a:hlinkClick r:id="rId1"/>
        </xdr:cNvPr>
        <xdr:cNvSpPr txBox="1">
          <a:spLocks noChangeArrowheads="1"/>
        </xdr:cNvSpPr>
      </xdr:nvSpPr>
      <xdr:spPr>
        <a:xfrm>
          <a:off x="2228850" y="228600"/>
          <a:ext cx="981075" cy="323850"/>
        </a:xfrm>
        <a:prstGeom prst="rect">
          <a:avLst/>
        </a:prstGeom>
        <a:solidFill>
          <a:srgbClr val="00B0F0"/>
        </a:solidFill>
        <a:ln w="9525" cmpd="sng">
          <a:solidFill>
            <a:srgbClr val="BCBCBC"/>
          </a:solidFill>
          <a:headEnd type="none"/>
          <a:tailEnd type="none"/>
        </a:ln>
      </xdr:spPr>
      <xdr:txBody>
        <a:bodyPr vertOverflow="clip" wrap="square" lIns="0" tIns="45720" rIns="0" bIns="45720" anchor="ctr"/>
        <a:p>
          <a:pPr algn="ctr">
            <a:defRPr/>
          </a:pPr>
          <a:r>
            <a:rPr lang="en-US" cap="none" sz="1200" b="0" i="0" u="none" baseline="0">
              <a:solidFill>
                <a:srgbClr val="000000"/>
              </a:solidFill>
              <a:latin typeface="Times New Roman"/>
              <a:ea typeface="Times New Roman"/>
              <a:cs typeface="Times New Roman"/>
            </a:rPr>
            <a:t>Instructions</a:t>
          </a:r>
        </a:p>
      </xdr:txBody>
    </xdr:sp>
    <xdr:clientData fPrintsWithSheet="0"/>
  </xdr:twoCellAnchor>
  <xdr:twoCellAnchor editAs="oneCell">
    <xdr:from>
      <xdr:col>13</xdr:col>
      <xdr:colOff>57150</xdr:colOff>
      <xdr:row>2</xdr:row>
      <xdr:rowOff>9525</xdr:rowOff>
    </xdr:from>
    <xdr:to>
      <xdr:col>27</xdr:col>
      <xdr:colOff>390525</xdr:colOff>
      <xdr:row>12</xdr:row>
      <xdr:rowOff>28575</xdr:rowOff>
    </xdr:to>
    <xdr:pic>
      <xdr:nvPicPr>
        <xdr:cNvPr id="2" name="Picture 1"/>
        <xdr:cNvPicPr preferRelativeResize="1">
          <a:picLocks noChangeAspect="1"/>
        </xdr:cNvPicPr>
      </xdr:nvPicPr>
      <xdr:blipFill>
        <a:blip r:embed="rId2"/>
        <a:stretch>
          <a:fillRect/>
        </a:stretch>
      </xdr:blipFill>
      <xdr:spPr>
        <a:xfrm>
          <a:off x="10210800" y="209550"/>
          <a:ext cx="7800975" cy="15811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xdr:row>
      <xdr:rowOff>152400</xdr:rowOff>
    </xdr:from>
    <xdr:to>
      <xdr:col>1</xdr:col>
      <xdr:colOff>819150</xdr:colOff>
      <xdr:row>4</xdr:row>
      <xdr:rowOff>104775</xdr:rowOff>
    </xdr:to>
    <xdr:sp>
      <xdr:nvSpPr>
        <xdr:cNvPr id="1" name="TextBox 2">
          <a:hlinkClick r:id="rId1"/>
        </xdr:cNvPr>
        <xdr:cNvSpPr txBox="1">
          <a:spLocks noChangeArrowheads="1"/>
        </xdr:cNvSpPr>
      </xdr:nvSpPr>
      <xdr:spPr>
        <a:xfrm>
          <a:off x="66675" y="304800"/>
          <a:ext cx="971550" cy="276225"/>
        </a:xfrm>
        <a:prstGeom prst="rect">
          <a:avLst/>
        </a:prstGeom>
        <a:solidFill>
          <a:srgbClr val="00B0F0"/>
        </a:solidFill>
        <a:ln w="9525" cmpd="sng">
          <a:solidFill>
            <a:srgbClr val="BCBCBC"/>
          </a:solidFill>
          <a:headEnd type="none"/>
          <a:tailEnd type="none"/>
        </a:ln>
      </xdr:spPr>
      <xdr:txBody>
        <a:bodyPr vertOverflow="clip" wrap="square" lIns="0" tIns="45720" rIns="0" bIns="45720" anchor="ctr"/>
        <a:p>
          <a:pPr algn="ctr">
            <a:defRPr/>
          </a:pPr>
          <a:r>
            <a:rPr lang="en-US" cap="none" sz="1200" b="0" i="0" u="none" baseline="0">
              <a:solidFill>
                <a:srgbClr val="000000"/>
              </a:solidFill>
              <a:latin typeface="Times New Roman"/>
              <a:ea typeface="Times New Roman"/>
              <a:cs typeface="Times New Roman"/>
            </a:rPr>
            <a:t>Instructions</a:t>
          </a:r>
        </a:p>
      </xdr:txBody>
    </xdr:sp>
    <xdr:clientData fPrintsWithSheet="0"/>
  </xdr:twoCellAnchor>
  <xdr:twoCellAnchor editAs="oneCell">
    <xdr:from>
      <xdr:col>21</xdr:col>
      <xdr:colOff>66675</xdr:colOff>
      <xdr:row>0</xdr:row>
      <xdr:rowOff>95250</xdr:rowOff>
    </xdr:from>
    <xdr:to>
      <xdr:col>35</xdr:col>
      <xdr:colOff>38100</xdr:colOff>
      <xdr:row>34</xdr:row>
      <xdr:rowOff>38100</xdr:rowOff>
    </xdr:to>
    <xdr:pic>
      <xdr:nvPicPr>
        <xdr:cNvPr id="2" name="Picture 1"/>
        <xdr:cNvPicPr preferRelativeResize="1">
          <a:picLocks noChangeAspect="1"/>
        </xdr:cNvPicPr>
      </xdr:nvPicPr>
      <xdr:blipFill>
        <a:blip r:embed="rId2"/>
        <a:stretch>
          <a:fillRect/>
        </a:stretch>
      </xdr:blipFill>
      <xdr:spPr>
        <a:xfrm>
          <a:off x="11791950" y="95250"/>
          <a:ext cx="7810500" cy="5457825"/>
        </a:xfrm>
        <a:prstGeom prst="rect">
          <a:avLst/>
        </a:prstGeom>
        <a:noFill/>
        <a:ln w="9525" cmpd="sng">
          <a:noFill/>
        </a:ln>
      </xdr:spPr>
    </xdr:pic>
    <xdr:clientData/>
  </xdr:twoCellAnchor>
  <xdr:twoCellAnchor editAs="oneCell">
    <xdr:from>
      <xdr:col>21</xdr:col>
      <xdr:colOff>76200</xdr:colOff>
      <xdr:row>34</xdr:row>
      <xdr:rowOff>28575</xdr:rowOff>
    </xdr:from>
    <xdr:to>
      <xdr:col>35</xdr:col>
      <xdr:colOff>38100</xdr:colOff>
      <xdr:row>66</xdr:row>
      <xdr:rowOff>9525</xdr:rowOff>
    </xdr:to>
    <xdr:pic>
      <xdr:nvPicPr>
        <xdr:cNvPr id="3" name="Picture 3"/>
        <xdr:cNvPicPr preferRelativeResize="1">
          <a:picLocks noChangeAspect="1"/>
        </xdr:cNvPicPr>
      </xdr:nvPicPr>
      <xdr:blipFill>
        <a:blip r:embed="rId3"/>
        <a:stretch>
          <a:fillRect/>
        </a:stretch>
      </xdr:blipFill>
      <xdr:spPr>
        <a:xfrm>
          <a:off x="11801475" y="5543550"/>
          <a:ext cx="7800975" cy="5943600"/>
        </a:xfrm>
        <a:prstGeom prst="rect">
          <a:avLst/>
        </a:prstGeom>
        <a:noFill/>
        <a:ln w="9525" cmpd="sng">
          <a:noFill/>
        </a:ln>
      </xdr:spPr>
    </xdr:pic>
    <xdr:clientData/>
  </xdr:twoCellAnchor>
  <xdr:twoCellAnchor editAs="oneCell">
    <xdr:from>
      <xdr:col>21</xdr:col>
      <xdr:colOff>76200</xdr:colOff>
      <xdr:row>65</xdr:row>
      <xdr:rowOff>142875</xdr:rowOff>
    </xdr:from>
    <xdr:to>
      <xdr:col>35</xdr:col>
      <xdr:colOff>38100</xdr:colOff>
      <xdr:row>103</xdr:row>
      <xdr:rowOff>123825</xdr:rowOff>
    </xdr:to>
    <xdr:pic>
      <xdr:nvPicPr>
        <xdr:cNvPr id="4" name="Picture 4"/>
        <xdr:cNvPicPr preferRelativeResize="1">
          <a:picLocks noChangeAspect="1"/>
        </xdr:cNvPicPr>
      </xdr:nvPicPr>
      <xdr:blipFill>
        <a:blip r:embed="rId4"/>
        <a:stretch>
          <a:fillRect/>
        </a:stretch>
      </xdr:blipFill>
      <xdr:spPr>
        <a:xfrm>
          <a:off x="11801475" y="11458575"/>
          <a:ext cx="7800975" cy="61341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76200</xdr:rowOff>
    </xdr:from>
    <xdr:to>
      <xdr:col>2</xdr:col>
      <xdr:colOff>333375</xdr:colOff>
      <xdr:row>3</xdr:row>
      <xdr:rowOff>28575</xdr:rowOff>
    </xdr:to>
    <xdr:sp>
      <xdr:nvSpPr>
        <xdr:cNvPr id="1" name="TextBox 1">
          <a:hlinkClick r:id="rId1"/>
        </xdr:cNvPr>
        <xdr:cNvSpPr txBox="1">
          <a:spLocks noChangeArrowheads="1"/>
        </xdr:cNvSpPr>
      </xdr:nvSpPr>
      <xdr:spPr>
        <a:xfrm>
          <a:off x="123825" y="238125"/>
          <a:ext cx="933450" cy="276225"/>
        </a:xfrm>
        <a:prstGeom prst="rect">
          <a:avLst/>
        </a:prstGeom>
        <a:solidFill>
          <a:srgbClr val="00B0F0"/>
        </a:solidFill>
        <a:ln w="9525" cmpd="sng">
          <a:solidFill>
            <a:srgbClr val="BCBCBC"/>
          </a:solidFill>
          <a:headEnd type="none"/>
          <a:tailEnd type="none"/>
        </a:ln>
      </xdr:spPr>
      <xdr:txBody>
        <a:bodyPr vertOverflow="clip" wrap="square" lIns="0" tIns="45720" rIns="0" bIns="45720" anchor="ctr"/>
        <a:p>
          <a:pPr algn="ctr">
            <a:defRPr/>
          </a:pPr>
          <a:r>
            <a:rPr lang="en-US" cap="none" sz="1200" b="0" i="0" u="none" baseline="0">
              <a:solidFill>
                <a:srgbClr val="000000"/>
              </a:solidFill>
              <a:latin typeface="Times New Roman"/>
              <a:ea typeface="Times New Roman"/>
              <a:cs typeface="Times New Roman"/>
            </a:rPr>
            <a:t>Instructions</a:t>
          </a:r>
        </a:p>
      </xdr:txBody>
    </xdr:sp>
    <xdr:clientData fPrintsWithSheet="0"/>
  </xdr:twoCellAnchor>
  <xdr:twoCellAnchor editAs="oneCell">
    <xdr:from>
      <xdr:col>23</xdr:col>
      <xdr:colOff>190500</xdr:colOff>
      <xdr:row>1</xdr:row>
      <xdr:rowOff>114300</xdr:rowOff>
    </xdr:from>
    <xdr:to>
      <xdr:col>38</xdr:col>
      <xdr:colOff>0</xdr:colOff>
      <xdr:row>14</xdr:row>
      <xdr:rowOff>114300</xdr:rowOff>
    </xdr:to>
    <xdr:pic>
      <xdr:nvPicPr>
        <xdr:cNvPr id="2" name="Picture 4"/>
        <xdr:cNvPicPr preferRelativeResize="1">
          <a:picLocks noChangeAspect="1"/>
        </xdr:cNvPicPr>
      </xdr:nvPicPr>
      <xdr:blipFill>
        <a:blip r:embed="rId2"/>
        <a:stretch>
          <a:fillRect/>
        </a:stretch>
      </xdr:blipFill>
      <xdr:spPr>
        <a:xfrm>
          <a:off x="10448925" y="276225"/>
          <a:ext cx="7810500" cy="20764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542925</xdr:colOff>
      <xdr:row>3</xdr:row>
      <xdr:rowOff>0</xdr:rowOff>
    </xdr:from>
    <xdr:to>
      <xdr:col>2</xdr:col>
      <xdr:colOff>400050</xdr:colOff>
      <xdr:row>4</xdr:row>
      <xdr:rowOff>114300</xdr:rowOff>
    </xdr:to>
    <xdr:sp>
      <xdr:nvSpPr>
        <xdr:cNvPr id="1" name="TextBox 1">
          <a:hlinkClick r:id="rId1"/>
        </xdr:cNvPr>
        <xdr:cNvSpPr txBox="1">
          <a:spLocks noChangeArrowheads="1"/>
        </xdr:cNvSpPr>
      </xdr:nvSpPr>
      <xdr:spPr>
        <a:xfrm>
          <a:off x="1771650" y="485775"/>
          <a:ext cx="962025" cy="276225"/>
        </a:xfrm>
        <a:prstGeom prst="rect">
          <a:avLst/>
        </a:prstGeom>
        <a:solidFill>
          <a:srgbClr val="00B0F0"/>
        </a:solidFill>
        <a:ln w="9525" cmpd="sng">
          <a:solidFill>
            <a:srgbClr val="BCBCBC"/>
          </a:solidFill>
          <a:headEnd type="none"/>
          <a:tailEnd type="none"/>
        </a:ln>
      </xdr:spPr>
      <xdr:txBody>
        <a:bodyPr vertOverflow="clip" wrap="square" lIns="0" tIns="45720" rIns="0" bIns="45720" anchor="ctr"/>
        <a:p>
          <a:pPr algn="ctr">
            <a:defRPr/>
          </a:pPr>
          <a:r>
            <a:rPr lang="en-US" cap="none" sz="1200" b="0" i="0" u="none" baseline="0">
              <a:solidFill>
                <a:srgbClr val="000000"/>
              </a:solidFill>
              <a:latin typeface="Times New Roman"/>
              <a:ea typeface="Times New Roman"/>
              <a:cs typeface="Times New Roman"/>
            </a:rPr>
            <a:t>Instructions</a:t>
          </a:r>
        </a:p>
      </xdr:txBody>
    </xdr:sp>
    <xdr:clientData fPrintsWithSheet="0"/>
  </xdr:twoCellAnchor>
  <xdr:twoCellAnchor editAs="oneCell">
    <xdr:from>
      <xdr:col>13</xdr:col>
      <xdr:colOff>104775</xdr:colOff>
      <xdr:row>1</xdr:row>
      <xdr:rowOff>66675</xdr:rowOff>
    </xdr:from>
    <xdr:to>
      <xdr:col>27</xdr:col>
      <xdr:colOff>438150</xdr:colOff>
      <xdr:row>12</xdr:row>
      <xdr:rowOff>114300</xdr:rowOff>
    </xdr:to>
    <xdr:pic>
      <xdr:nvPicPr>
        <xdr:cNvPr id="2" name="Picture 2"/>
        <xdr:cNvPicPr preferRelativeResize="1">
          <a:picLocks noChangeAspect="1"/>
        </xdr:cNvPicPr>
      </xdr:nvPicPr>
      <xdr:blipFill>
        <a:blip r:embed="rId2"/>
        <a:stretch>
          <a:fillRect/>
        </a:stretch>
      </xdr:blipFill>
      <xdr:spPr>
        <a:xfrm>
          <a:off x="9886950" y="228600"/>
          <a:ext cx="7800975" cy="18288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xdr:row>
      <xdr:rowOff>47625</xdr:rowOff>
    </xdr:from>
    <xdr:to>
      <xdr:col>0</xdr:col>
      <xdr:colOff>1047750</xdr:colOff>
      <xdr:row>4</xdr:row>
      <xdr:rowOff>19050</xdr:rowOff>
    </xdr:to>
    <xdr:sp>
      <xdr:nvSpPr>
        <xdr:cNvPr id="1" name="TextBox 1">
          <a:hlinkClick r:id="rId1"/>
        </xdr:cNvPr>
        <xdr:cNvSpPr txBox="1">
          <a:spLocks noChangeArrowheads="1"/>
        </xdr:cNvSpPr>
      </xdr:nvSpPr>
      <xdr:spPr>
        <a:xfrm>
          <a:off x="66675" y="352425"/>
          <a:ext cx="981075" cy="276225"/>
        </a:xfrm>
        <a:prstGeom prst="rect">
          <a:avLst/>
        </a:prstGeom>
        <a:solidFill>
          <a:srgbClr val="00B0F0"/>
        </a:solidFill>
        <a:ln w="9525" cmpd="sng">
          <a:solidFill>
            <a:srgbClr val="BCBCBC"/>
          </a:solidFill>
          <a:headEnd type="none"/>
          <a:tailEnd type="none"/>
        </a:ln>
      </xdr:spPr>
      <xdr:txBody>
        <a:bodyPr vertOverflow="clip" wrap="square" lIns="0" tIns="45720" rIns="0" bIns="45720" anchor="ctr"/>
        <a:p>
          <a:pPr algn="ctr">
            <a:defRPr/>
          </a:pPr>
          <a:r>
            <a:rPr lang="en-US" cap="none" sz="1200" b="0" i="0" u="none" baseline="0">
              <a:solidFill>
                <a:srgbClr val="000000"/>
              </a:solidFill>
              <a:latin typeface="Times New Roman"/>
              <a:ea typeface="Times New Roman"/>
              <a:cs typeface="Times New Roman"/>
            </a:rPr>
            <a:t>Instructions</a:t>
          </a:r>
        </a:p>
      </xdr:txBody>
    </xdr:sp>
    <xdr:clientData fPrintsWithSheet="0"/>
  </xdr:twoCellAnchor>
  <xdr:twoCellAnchor editAs="oneCell">
    <xdr:from>
      <xdr:col>12</xdr:col>
      <xdr:colOff>133350</xdr:colOff>
      <xdr:row>2</xdr:row>
      <xdr:rowOff>0</xdr:rowOff>
    </xdr:from>
    <xdr:to>
      <xdr:col>24</xdr:col>
      <xdr:colOff>400050</xdr:colOff>
      <xdr:row>36</xdr:row>
      <xdr:rowOff>123825</xdr:rowOff>
    </xdr:to>
    <xdr:pic>
      <xdr:nvPicPr>
        <xdr:cNvPr id="2" name="Picture 2"/>
        <xdr:cNvPicPr preferRelativeResize="1">
          <a:picLocks noChangeAspect="1"/>
        </xdr:cNvPicPr>
      </xdr:nvPicPr>
      <xdr:blipFill>
        <a:blip r:embed="rId2"/>
        <a:stretch>
          <a:fillRect/>
        </a:stretch>
      </xdr:blipFill>
      <xdr:spPr>
        <a:xfrm>
          <a:off x="11601450" y="304800"/>
          <a:ext cx="7800975" cy="5305425"/>
        </a:xfrm>
        <a:prstGeom prst="rect">
          <a:avLst/>
        </a:prstGeom>
        <a:noFill/>
        <a:ln w="9525" cmpd="sng">
          <a:noFill/>
        </a:ln>
      </xdr:spPr>
    </xdr:pic>
    <xdr:clientData/>
  </xdr:twoCellAnchor>
  <xdr:twoCellAnchor editAs="oneCell">
    <xdr:from>
      <xdr:col>12</xdr:col>
      <xdr:colOff>133350</xdr:colOff>
      <xdr:row>36</xdr:row>
      <xdr:rowOff>95250</xdr:rowOff>
    </xdr:from>
    <xdr:to>
      <xdr:col>24</xdr:col>
      <xdr:colOff>400050</xdr:colOff>
      <xdr:row>72</xdr:row>
      <xdr:rowOff>133350</xdr:rowOff>
    </xdr:to>
    <xdr:pic>
      <xdr:nvPicPr>
        <xdr:cNvPr id="3" name="Picture 3"/>
        <xdr:cNvPicPr preferRelativeResize="1">
          <a:picLocks noChangeAspect="1"/>
        </xdr:cNvPicPr>
      </xdr:nvPicPr>
      <xdr:blipFill>
        <a:blip r:embed="rId3"/>
        <a:stretch>
          <a:fillRect/>
        </a:stretch>
      </xdr:blipFill>
      <xdr:spPr>
        <a:xfrm>
          <a:off x="11601450" y="5581650"/>
          <a:ext cx="7800975" cy="58007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Users\CEO\AppData\Local\Temp\Temp1_CSAFR18.zip\afr1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Users\CEO\AppData\Local\Temp\Temp1_CSAFR18.zip\budget1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Users\CEO\AppData\Local\Temp\Temp1_CSAFR18.zip\afr18-food%20servic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F:\School%20Districts\USFR%20MEMOs\Pending\FY%202018%20AFR\2018%20AF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Page"/>
      <sheetName val="Page 1"/>
      <sheetName val="Page 2"/>
      <sheetName val="Page 3"/>
      <sheetName val="Page 4"/>
      <sheetName val="Page 5"/>
      <sheetName val="Page 6"/>
      <sheetName val="Page 7"/>
      <sheetName val="Page 8"/>
      <sheetName val="Page 9"/>
      <sheetName val="Page 10"/>
      <sheetName val="Instructions"/>
    </sheetNames>
    <definedNames>
      <definedName name="AddlInstrImprProjEndBal" refersTo="=Page 5!$F$19"/>
      <definedName name="CIP1072EndBal" refersTo="=Page 6!$O$48"/>
      <definedName name="CSP1011EndBal" refersTo="=Page 4!$F$38"/>
      <definedName name="CSP1012EndBal" refersTo="=Page 4!$G$38"/>
      <definedName name="CSP1013EndBal" refersTo="=Page 4!$H$38"/>
      <definedName name="FP11001130EndBal" refersTo="=Page 9!$L$6"/>
      <definedName name="FP11401150EndBal" refersTo="=Page 9!$L$7"/>
      <definedName name="FP1160EndBal" refersTo="=Page 9!$L$8"/>
      <definedName name="FP11701180EndBal" refersTo="=Page 9!$L$9"/>
      <definedName name="FP1190EndBal" refersTo="=Page 9!$L$10"/>
      <definedName name="FP1200EndBal" refersTo="=Page 9!$L$11"/>
      <definedName name="FP1210EndBal" refersTo="=Page 9!$L$12"/>
      <definedName name="FP1220EndBal" refersTo="=Page 9!$L$13"/>
      <definedName name="FP1230EndBal" refersTo="=Page 9!$L$14"/>
      <definedName name="FP1240EndBal" refersTo="=Page 9!$L$15"/>
      <definedName name="FP1250EndBal" refersTo="=Page 9!$L$16"/>
      <definedName name="FP1260EndBal" refersTo="=Page 9!$L$17"/>
      <definedName name="FP1280EndBal" refersTo="=Page 9!$L$18"/>
      <definedName name="FP1290EndBal" refersTo="=Page 9!$L$19"/>
      <definedName name="FP1300EndBal" refersTo="=Page 9!$L$20"/>
      <definedName name="FP13101399EndBal" refersTo="=Page 9!$L$22"/>
      <definedName name="SEIP1071EndBal" refersTo="=Page 6!$O$26"/>
      <definedName name="SP1000CompInstrProj" refersTo="=Page 2!$J$45"/>
      <definedName name="SP1000P100F2100" refersTo="=Page 2!$J$8"/>
      <definedName name="SP1000P100F2200" refersTo="=Page 2!$J$10"/>
      <definedName name="SP1000P100F2900" refersTo="=Page 2!$J$15"/>
      <definedName name="SP1000P100F3000" refersTo="=Page 2!$J$16"/>
      <definedName name="SP1000P100F4000" refersTo="=Page 2!$J$17"/>
      <definedName name="SP1000P200F2100" refersTo="=Page 2!$J$25"/>
      <definedName name="SP1000P200F2200" refersTo="=Page 2!$J$27"/>
      <definedName name="SP1000P200F2300" refersTo="=Page 2!$J$28"/>
      <definedName name="SP1000P200F2400" refersTo="=Page 2!$J$29"/>
      <definedName name="SP1000P200F2500" refersTo="=Page 2!$J$30"/>
      <definedName name="SP1000P200F2600" refersTo="=Page 2!$J$31"/>
      <definedName name="SP1000P200F2900" refersTo="=Page 2!$J$32"/>
      <definedName name="SP1000P200F3000" refersTo="=Page 2!$J$33"/>
      <definedName name="SP1000P200F4000" refersTo="=Page 2!$J$34"/>
      <definedName name="SP1000P200F5000" refersTo="=Page 2!$J$35"/>
      <definedName name="SP1000P400" refersTo="=Page 2!$J$37"/>
      <definedName name="SP1000P530" refersTo="=Page 2!$J$38"/>
      <definedName name="SP1000P540" refersTo="=Page 2!$J$39"/>
      <definedName name="SP1000P550" refersTo="=Page 2!$J$40"/>
      <definedName name="SP1000P610" refersTo="=Page 2!$J$19"/>
      <definedName name="SP1000P620" refersTo="=Page 2!$J$20"/>
      <definedName name="SP1000StruEngImmProj" refersTo="=Page 2!$J$44"/>
      <definedName name="StP1400EndBal" refersTo="=Page 9!$L$25"/>
      <definedName name="StP1410EndBal" refersTo="=Page 9!$L$26"/>
      <definedName name="StP1420EndBal" refersTo="=Page 9!$L$27"/>
      <definedName name="StP1425EndBal" refersTo="=Page 9!$L$28"/>
      <definedName name="StP1430EndBal" refersTo="=Page 9!$L$29"/>
      <definedName name="StP1435EndBal" refersTo="=Page 9!$L$30"/>
      <definedName name="StP1450EndBal" refersTo="=Page 9!$L$31"/>
      <definedName name="StP1460EndBal" refersTo="=Page 9!$L$32"/>
      <definedName name="StP1465EndBal" refersTo="=Page 9!$L$33"/>
      <definedName name="StP14701499EndBal" refersTo="=Page 9!$L$34"/>
    </definedNames>
    <sheetDataSet>
      <sheetData sheetId="2">
        <row r="8">
          <cell r="J8">
            <v>0</v>
          </cell>
        </row>
        <row r="10">
          <cell r="J10">
            <v>0</v>
          </cell>
        </row>
        <row r="15">
          <cell r="J15">
            <v>0</v>
          </cell>
        </row>
        <row r="16">
          <cell r="J16">
            <v>0</v>
          </cell>
        </row>
        <row r="17">
          <cell r="J17">
            <v>0</v>
          </cell>
        </row>
        <row r="19">
          <cell r="J19">
            <v>0</v>
          </cell>
        </row>
        <row r="20">
          <cell r="J20">
            <v>0</v>
          </cell>
        </row>
        <row r="25">
          <cell r="J25">
            <v>0</v>
          </cell>
        </row>
        <row r="27">
          <cell r="J27">
            <v>0</v>
          </cell>
        </row>
        <row r="28">
          <cell r="J28">
            <v>0</v>
          </cell>
        </row>
        <row r="29">
          <cell r="J29">
            <v>0</v>
          </cell>
        </row>
        <row r="30">
          <cell r="J30">
            <v>0</v>
          </cell>
        </row>
        <row r="31">
          <cell r="J31">
            <v>0</v>
          </cell>
        </row>
        <row r="32">
          <cell r="J32">
            <v>0</v>
          </cell>
        </row>
        <row r="33">
          <cell r="J33">
            <v>0</v>
          </cell>
        </row>
        <row r="34">
          <cell r="J34">
            <v>0</v>
          </cell>
        </row>
        <row r="35">
          <cell r="J35">
            <v>0</v>
          </cell>
        </row>
        <row r="37">
          <cell r="J37">
            <v>0</v>
          </cell>
        </row>
        <row r="38">
          <cell r="J38">
            <v>0</v>
          </cell>
        </row>
        <row r="39">
          <cell r="J39">
            <v>0</v>
          </cell>
        </row>
        <row r="40">
          <cell r="J40">
            <v>0</v>
          </cell>
        </row>
        <row r="44">
          <cell r="J44">
            <v>0</v>
          </cell>
        </row>
        <row r="45">
          <cell r="J45">
            <v>0</v>
          </cell>
        </row>
      </sheetData>
      <sheetData sheetId="4">
        <row r="38">
          <cell r="F38">
            <v>0</v>
          </cell>
          <cell r="G38">
            <v>0</v>
          </cell>
          <cell r="H38">
            <v>0</v>
          </cell>
        </row>
      </sheetData>
      <sheetData sheetId="5">
        <row r="19">
          <cell r="F19">
            <v>0</v>
          </cell>
        </row>
      </sheetData>
      <sheetData sheetId="6">
        <row r="26">
          <cell r="O26">
            <v>0</v>
          </cell>
        </row>
        <row r="48">
          <cell r="O48">
            <v>0</v>
          </cell>
        </row>
      </sheetData>
      <sheetData sheetId="9">
        <row r="6">
          <cell r="L6">
            <v>0</v>
          </cell>
        </row>
        <row r="7">
          <cell r="L7">
            <v>0</v>
          </cell>
        </row>
        <row r="8">
          <cell r="L8">
            <v>0</v>
          </cell>
        </row>
        <row r="9">
          <cell r="L9">
            <v>0</v>
          </cell>
        </row>
        <row r="10">
          <cell r="L10">
            <v>0</v>
          </cell>
        </row>
        <row r="11">
          <cell r="L11">
            <v>0</v>
          </cell>
        </row>
        <row r="12">
          <cell r="L12">
            <v>0</v>
          </cell>
        </row>
        <row r="13">
          <cell r="L13">
            <v>0</v>
          </cell>
        </row>
        <row r="14">
          <cell r="L14">
            <v>0</v>
          </cell>
        </row>
        <row r="15">
          <cell r="L15">
            <v>0</v>
          </cell>
        </row>
        <row r="16">
          <cell r="L16">
            <v>0</v>
          </cell>
        </row>
        <row r="17">
          <cell r="L17">
            <v>0</v>
          </cell>
        </row>
        <row r="18">
          <cell r="L18">
            <v>0</v>
          </cell>
        </row>
        <row r="19">
          <cell r="L19">
            <v>0</v>
          </cell>
        </row>
        <row r="20">
          <cell r="L20">
            <v>0</v>
          </cell>
        </row>
        <row r="21">
          <cell r="L21">
            <v>0</v>
          </cell>
        </row>
        <row r="22">
          <cell r="L22">
            <v>0</v>
          </cell>
        </row>
        <row r="25">
          <cell r="L25">
            <v>0</v>
          </cell>
        </row>
        <row r="26">
          <cell r="L26">
            <v>0</v>
          </cell>
        </row>
        <row r="27">
          <cell r="L27">
            <v>0</v>
          </cell>
        </row>
        <row r="28">
          <cell r="L28">
            <v>0</v>
          </cell>
        </row>
        <row r="29">
          <cell r="L29">
            <v>0</v>
          </cell>
        </row>
        <row r="30">
          <cell r="L30">
            <v>0</v>
          </cell>
        </row>
        <row r="31">
          <cell r="L31">
            <v>0</v>
          </cell>
        </row>
        <row r="32">
          <cell r="L32">
            <v>0</v>
          </cell>
        </row>
        <row r="33">
          <cell r="L33">
            <v>0</v>
          </cell>
        </row>
        <row r="34">
          <cell r="L34">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
      <sheetName val="Page 1"/>
      <sheetName val="Page 2"/>
      <sheetName val="Page 3"/>
      <sheetName val="Page 4"/>
      <sheetName val="Budget Summary"/>
      <sheetName val="Instructions"/>
    </sheetNames>
    <definedNames>
      <definedName name="CA0191Land" refersTo="=Page 2!$E$40"/>
      <definedName name="CA0192SiteImprovements" refersTo="=Page 2!$E$41"/>
      <definedName name="CA0194Buildings" refersTo="=Page 2!$E$42"/>
      <definedName name="CA0196Equipment" refersTo="=Page 2!$E$43"/>
      <definedName name="CA0198CIP" refersTo="=Page 2!$E$44"/>
      <definedName name="CIP1072P265F1000" refersTo="=Page 4!$N$30"/>
      <definedName name="CIP1072P265F2100" refersTo="=Page 4!$N$32"/>
      <definedName name="CIP1072P265F2200" refersTo="=Page 4!$N$33"/>
      <definedName name="CIP1072P265F2300" refersTo="=Page 4!$N$34"/>
      <definedName name="CIP1072P265F2400" refersTo="=Page 4!$N$35"/>
      <definedName name="CIP1072P265F2500" refersTo="=Page 4!$N$36"/>
      <definedName name="CIP1072P265F2600" refersTo="=Page 4!$N$37"/>
      <definedName name="CIP1072P265F2900" refersTo="=Page 4!$N$38"/>
      <definedName name="CIP1072P435F2700" refersTo="=Page 4!$N$42"/>
      <definedName name="CSP1011P100F2100" refersTo="=Page 3!$K$10"/>
      <definedName name="CSP1011P100F2200" refersTo="=Page 3!$K$11"/>
      <definedName name="CSP1011P200F1000" refersTo="=Page 3!$K$14"/>
      <definedName name="CSP1011P200F2100" refersTo="=Page 3!$K$15"/>
      <definedName name="CSP1011P200F2200" refersTo="=Page 3!$K$16"/>
      <definedName name="CSP1011POtherF1000" refersTo="=Page 3!$K$19"/>
      <definedName name="CSP1011POtherF2100" refersTo="=Page 3!$K$20"/>
      <definedName name="CSP1011POtherF2200" refersTo="=Page 3!$K$21"/>
      <definedName name="CSP1012P100F2100" refersTo="=Page 3!$K$27"/>
      <definedName name="CSP1012P100F2200" refersTo="=Page 3!$K$28"/>
      <definedName name="CSP1012P200F1000" refersTo="=Page 3!$K$31"/>
      <definedName name="CSP1012P200F2100" refersTo="=Page 3!$K$32"/>
      <definedName name="CSP1012P200F2200" refersTo="=Page 3!$K$33"/>
      <definedName name="CSP1012POtherF1000" refersTo="=Page 3!$K$36"/>
      <definedName name="CSP1012POtherF2100" refersTo="=Page 3!$K$37"/>
      <definedName name="CSP1012POtherF2200" refersTo="=Page 3!$K$38"/>
      <definedName name="CSP1013P100F2100" refersTo="=Page 3!$K$44"/>
      <definedName name="CSP1013P100F2200" refersTo="=Page 3!$K$45"/>
      <definedName name="CSP1013P200F1000" refersTo="=Page 3!$K$48"/>
      <definedName name="CSP1013P200F2100" refersTo="=Page 3!$K$49"/>
      <definedName name="CSP1013P200F2200" refersTo="=Page 3!$K$50"/>
      <definedName name="CSP1013P530F1000" refersTo="=Page 3!$K$53"/>
      <definedName name="CSP1013POtherF1000" refersTo="=Page 3!$K$55"/>
      <definedName name="CSP1013POtherF21002200" refersTo="=Page 3!$K$56"/>
      <definedName name="FP1160TitleIV" refersTo="=Page 2!$E$7"/>
      <definedName name="FP11701180TitleV" refersTo="=Page 2!$E$8"/>
      <definedName name="FP1190TitleIII" refersTo="=Page 2!$E$9"/>
      <definedName name="FP1200TitleVII" refersTo="=Page 2!$E$10"/>
      <definedName name="FP1210TitleVI" refersTo="=Page 2!$E$11"/>
      <definedName name="FP1230Johnson" refersTo="=Page 2!$E$13"/>
      <definedName name="FP1240WIA" refersTo="=Page 2!$E$14"/>
      <definedName name="FP1250AEA" refersTo="=Page 2!$E$15"/>
      <definedName name="FP12601270VocEd" refersTo="=Page 2!$E$16"/>
      <definedName name="FP1280TitleX" refersTo="=Page 2!$E$17"/>
      <definedName name="FP1290Medicaid" refersTo="=Page 2!$E$18"/>
      <definedName name="FP13__ImpactAid" refersTo="=Page 2!$E$20"/>
      <definedName name="FP1300Charter" refersTo="=Page 2!$E$19"/>
      <definedName name="FP13101399Other" refersTo="=Page 2!$E$21"/>
      <definedName name="FP1420ExtendedSchool" refersTo="=Page 2!$E$26"/>
      <definedName name="IIPClassSizeReduction" refersTo="=Page 2!$N$19"/>
      <definedName name="IIPDropoutPreventionPrograms" refersTo="=Page 2!$N$20"/>
      <definedName name="IIPInstructionalImprovementPrograms" refersTo="=Page 2!$N$21"/>
      <definedName name="P200CareerEducation" refersTo="=Page 2!$N$11"/>
      <definedName name="P200ELLCompensatoryInstruction" refersTo="=Page 2!$N$8"/>
      <definedName name="P200ELLIncrementalCosts" refersTo="=Page 2!$N$7"/>
      <definedName name="P200GiftedEducation" refersTo="=Page 2!$N$6"/>
      <definedName name="P200RemedialEducation" refersTo="=Page 2!$N$9"/>
      <definedName name="P200VocationalandTechnologicalEd" refersTo="=Page 2!$N$10"/>
      <definedName name="SEIP1071P260F1000" refersTo="=Page 4!$N$9"/>
      <definedName name="SEIP1071P260F2100" refersTo="=Page 4!$N$11"/>
      <definedName name="SEIP1071P260F2200" refersTo="=Page 4!$N$12"/>
      <definedName name="SEIP1071P260F2300" refersTo="=Page 4!$N$13"/>
      <definedName name="SEIP1071P260F2400" refersTo="=Page 4!$N$14"/>
      <definedName name="SEIP1071P260F2500" refersTo="=Page 4!$N$15"/>
      <definedName name="SEIP1071P260F2600" refersTo="=Page 4!$N$16"/>
      <definedName name="SEIP1071P260F2900" refersTo="=Page 4!$N$17"/>
      <definedName name="SEIP1071P430F2700" refersTo="=Page 4!$N$21"/>
      <definedName name="SP1000CompInstrProj" refersTo="=Page 1!$L$47"/>
      <definedName name="SP1000P100F2200" refersTo="=Page 1!$L$11"/>
      <definedName name="SP1000P100F2500" refersTo="=Page 1!$L$14"/>
      <definedName name="SP1000P100F2900" refersTo="=Page 1!$L$16"/>
      <definedName name="SP1000P100F3000" refersTo="=Page 1!$L$17"/>
      <definedName name="SP1000P100F4000" refersTo="=Page 1!$L$18"/>
      <definedName name="SP1000P200F2100" refersTo="=Page 1!$L$27"/>
      <definedName name="SP1000P200F2200" refersTo="=Page 1!$L$28"/>
      <definedName name="SP1000P200F2300" refersTo="=Page 1!$L$29"/>
      <definedName name="SP1000P200F2400" refersTo="=Page 1!$L$30"/>
      <definedName name="SP1000P200F2500" refersTo="=Page 1!$L$31"/>
      <definedName name="SP1000P200F2600" refersTo="=Page 1!$L$32"/>
      <definedName name="SP1000P200F2900" refersTo="=Page 1!$L$33"/>
      <definedName name="SP1000P200F3000" refersTo="=Page 1!$L$34"/>
      <definedName name="SP1000P200F4000" refersTo="=Page 1!$L$35"/>
      <definedName name="SP1000P200F5000" refersTo="=Page 1!$L$36"/>
      <definedName name="SP1000P400" refersTo="=Page 1!$L$39"/>
      <definedName name="SP1000P530" refersTo="=Page 1!$L$40"/>
      <definedName name="SP1000P540" refersTo="=Page 1!$L$41"/>
      <definedName name="SP1000P550" refersTo="=Page 1!$L$42"/>
      <definedName name="SP1000P610" refersTo="=Page 1!$L$20"/>
      <definedName name="SP1000P620" refersTo="=Page 1!$L$21"/>
      <definedName name="SP1000P630700800900" refersTo="=Page 1!$L$22"/>
      <definedName name="SP1000StruEngImmProj" refersTo="=Page 1!$L$46"/>
      <definedName name="SP1400VocEd" refersTo="=Page 2!$E$24"/>
      <definedName name="SP1410EarlyChildhoodBlockGrant" refersTo="=Page 2!$E$25"/>
      <definedName name="SP1425AdultBasicEd" refersTo="=Page 2!$E$27"/>
      <definedName name="SP1430ChemicalAbuse" refersTo="=Page 2!$E$28"/>
      <definedName name="SP1435AcademicContests" refersTo="=Page 2!$E$29"/>
      <definedName name="SP1450GiftedEd" refersTo="=Page 2!$E$30"/>
      <definedName name="SP1460EnvironmentalSpecialPlate" refersTo="=Page 2!$E$33"/>
      <definedName name="SP1465CharterSchool" refersTo="=Page 2!$E$34"/>
      <definedName name="SP14701499Other" refersTo="=Page 2!$E$35"/>
    </definedNames>
    <sheetDataSet>
      <sheetData sheetId="1">
        <row r="11">
          <cell r="L11">
            <v>0</v>
          </cell>
        </row>
        <row r="14">
          <cell r="L14">
            <v>0</v>
          </cell>
        </row>
        <row r="16">
          <cell r="L16">
            <v>0</v>
          </cell>
        </row>
        <row r="17">
          <cell r="L17">
            <v>0</v>
          </cell>
        </row>
        <row r="18">
          <cell r="L18">
            <v>0</v>
          </cell>
        </row>
        <row r="20">
          <cell r="L20">
            <v>0</v>
          </cell>
        </row>
        <row r="21">
          <cell r="L21">
            <v>0</v>
          </cell>
        </row>
        <row r="22">
          <cell r="L22">
            <v>0</v>
          </cell>
        </row>
        <row r="27">
          <cell r="L27">
            <v>0</v>
          </cell>
        </row>
        <row r="28">
          <cell r="L28">
            <v>0</v>
          </cell>
        </row>
        <row r="29">
          <cell r="L29">
            <v>0</v>
          </cell>
        </row>
        <row r="30">
          <cell r="L30">
            <v>0</v>
          </cell>
        </row>
        <row r="31">
          <cell r="L31">
            <v>0</v>
          </cell>
        </row>
        <row r="32">
          <cell r="L32">
            <v>0</v>
          </cell>
        </row>
        <row r="33">
          <cell r="L33">
            <v>0</v>
          </cell>
        </row>
        <row r="34">
          <cell r="L34">
            <v>0</v>
          </cell>
        </row>
        <row r="35">
          <cell r="L35">
            <v>0</v>
          </cell>
        </row>
        <row r="36">
          <cell r="L36">
            <v>0</v>
          </cell>
        </row>
        <row r="39">
          <cell r="L39">
            <v>0</v>
          </cell>
        </row>
        <row r="40">
          <cell r="L40">
            <v>0</v>
          </cell>
        </row>
        <row r="41">
          <cell r="L41">
            <v>0</v>
          </cell>
        </row>
        <row r="42">
          <cell r="L42">
            <v>0</v>
          </cell>
        </row>
        <row r="46">
          <cell r="L46">
            <v>0</v>
          </cell>
        </row>
        <row r="47">
          <cell r="L47">
            <v>0</v>
          </cell>
        </row>
      </sheetData>
      <sheetData sheetId="3">
        <row r="10">
          <cell r="K10">
            <v>0</v>
          </cell>
        </row>
        <row r="11">
          <cell r="K11">
            <v>0</v>
          </cell>
        </row>
        <row r="14">
          <cell r="K14">
            <v>0</v>
          </cell>
        </row>
        <row r="15">
          <cell r="K15">
            <v>0</v>
          </cell>
        </row>
        <row r="16">
          <cell r="K16">
            <v>0</v>
          </cell>
        </row>
        <row r="19">
          <cell r="K19">
            <v>0</v>
          </cell>
        </row>
        <row r="20">
          <cell r="K20">
            <v>0</v>
          </cell>
        </row>
        <row r="21">
          <cell r="K21">
            <v>0</v>
          </cell>
        </row>
        <row r="27">
          <cell r="K27">
            <v>0</v>
          </cell>
        </row>
        <row r="28">
          <cell r="K28">
            <v>0</v>
          </cell>
        </row>
        <row r="31">
          <cell r="K31">
            <v>0</v>
          </cell>
        </row>
        <row r="32">
          <cell r="K32">
            <v>0</v>
          </cell>
        </row>
        <row r="33">
          <cell r="K33">
            <v>0</v>
          </cell>
        </row>
        <row r="36">
          <cell r="K36">
            <v>0</v>
          </cell>
        </row>
        <row r="37">
          <cell r="K37">
            <v>0</v>
          </cell>
        </row>
        <row r="38">
          <cell r="K38">
            <v>0</v>
          </cell>
        </row>
        <row r="44">
          <cell r="K44">
            <v>0</v>
          </cell>
        </row>
        <row r="45">
          <cell r="K45">
            <v>0</v>
          </cell>
        </row>
        <row r="48">
          <cell r="K48">
            <v>0</v>
          </cell>
        </row>
        <row r="49">
          <cell r="K49">
            <v>0</v>
          </cell>
        </row>
        <row r="50">
          <cell r="K50">
            <v>0</v>
          </cell>
        </row>
        <row r="53">
          <cell r="K53">
            <v>0</v>
          </cell>
        </row>
        <row r="55">
          <cell r="K55">
            <v>0</v>
          </cell>
        </row>
        <row r="56">
          <cell r="K56">
            <v>0</v>
          </cell>
        </row>
      </sheetData>
      <sheetData sheetId="4">
        <row r="9">
          <cell r="N9">
            <v>0</v>
          </cell>
        </row>
        <row r="11">
          <cell r="N11">
            <v>0</v>
          </cell>
        </row>
        <row r="12">
          <cell r="N12">
            <v>0</v>
          </cell>
        </row>
        <row r="13">
          <cell r="N13">
            <v>0</v>
          </cell>
        </row>
        <row r="14">
          <cell r="N14">
            <v>0</v>
          </cell>
        </row>
        <row r="15">
          <cell r="N15">
            <v>0</v>
          </cell>
        </row>
        <row r="16">
          <cell r="N16">
            <v>0</v>
          </cell>
        </row>
        <row r="17">
          <cell r="N17">
            <v>0</v>
          </cell>
        </row>
        <row r="21">
          <cell r="N21">
            <v>0</v>
          </cell>
        </row>
        <row r="30">
          <cell r="N30">
            <v>0</v>
          </cell>
        </row>
        <row r="32">
          <cell r="N32">
            <v>0</v>
          </cell>
        </row>
        <row r="33">
          <cell r="N33">
            <v>0</v>
          </cell>
        </row>
        <row r="34">
          <cell r="N34">
            <v>0</v>
          </cell>
        </row>
        <row r="35">
          <cell r="N35">
            <v>0</v>
          </cell>
        </row>
        <row r="36">
          <cell r="N36">
            <v>0</v>
          </cell>
        </row>
        <row r="37">
          <cell r="N37">
            <v>0</v>
          </cell>
        </row>
        <row r="38">
          <cell r="N38">
            <v>0</v>
          </cell>
        </row>
        <row r="42">
          <cell r="N42">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od Service AFR"/>
      <sheetName val="Instruction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ver"/>
      <sheetName val="Page 1"/>
      <sheetName val="Page 2"/>
      <sheetName val="Page 3"/>
      <sheetName val="Page 4"/>
      <sheetName val="Page 5"/>
      <sheetName val="Page 6"/>
      <sheetName val="Page 7"/>
      <sheetName val="Page 8"/>
      <sheetName val="Page 9"/>
      <sheetName val="Summary"/>
      <sheetName val="Supplement"/>
      <sheetName val="Instructions"/>
      <sheetName val="Excel Hint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T38"/>
  <sheetViews>
    <sheetView showGridLines="0" tabSelected="1" workbookViewId="0" topLeftCell="A13">
      <selection activeCell="G21" sqref="G21"/>
    </sheetView>
  </sheetViews>
  <sheetFormatPr defaultColWidth="9.33203125" defaultRowHeight="12.75"/>
  <cols>
    <col min="1" max="1" width="9.66015625" style="53" customWidth="1"/>
    <col min="2" max="2" width="6.33203125" style="53" customWidth="1"/>
    <col min="3" max="3" width="5.5" style="53" customWidth="1"/>
    <col min="4" max="4" width="9.66015625" style="53" customWidth="1"/>
    <col min="5" max="5" width="6.33203125" style="53" customWidth="1"/>
    <col min="6" max="6" width="13.16015625" style="53" customWidth="1"/>
    <col min="7" max="7" width="7.83203125" style="53" customWidth="1"/>
    <col min="8" max="8" width="3.5" style="52" customWidth="1"/>
    <col min="9" max="9" width="13.16015625" style="52" customWidth="1"/>
    <col min="10" max="12" width="9.33203125" style="52" customWidth="1"/>
    <col min="13" max="13" width="11" style="52" customWidth="1"/>
    <col min="14" max="14" width="20" style="52" customWidth="1"/>
    <col min="15" max="15" width="17.33203125" style="52" customWidth="1"/>
    <col min="16" max="16" width="7.16015625" style="52" customWidth="1"/>
    <col min="17" max="17" width="3.33203125" style="52" customWidth="1"/>
    <col min="18" max="18" width="16" style="52" customWidth="1"/>
    <col min="19" max="16384" width="9.33203125" style="52" customWidth="1"/>
  </cols>
  <sheetData>
    <row r="1" spans="1:18" ht="12.75" customHeight="1">
      <c r="A1" s="548" t="s">
        <v>0</v>
      </c>
      <c r="B1" s="548"/>
      <c r="C1" s="548"/>
      <c r="D1" s="531" t="s">
        <v>518</v>
      </c>
      <c r="E1" s="531"/>
      <c r="F1" s="531"/>
      <c r="G1" s="531"/>
      <c r="H1" s="531"/>
      <c r="I1" s="531"/>
      <c r="J1" s="49"/>
      <c r="K1" s="50"/>
      <c r="L1" s="96" t="s">
        <v>1</v>
      </c>
      <c r="M1" s="531" t="s">
        <v>519</v>
      </c>
      <c r="N1" s="531"/>
      <c r="O1"/>
      <c r="P1"/>
      <c r="Q1" s="97" t="s">
        <v>138</v>
      </c>
      <c r="R1" s="51" t="s">
        <v>520</v>
      </c>
    </row>
    <row r="2" spans="1:18" ht="12.75" customHeight="1">
      <c r="A2" s="70"/>
      <c r="B2" s="70"/>
      <c r="C2" s="70"/>
      <c r="D2" s="547" t="s">
        <v>136</v>
      </c>
      <c r="E2" s="547"/>
      <c r="F2" s="547"/>
      <c r="G2" s="547"/>
      <c r="H2" s="547"/>
      <c r="I2" s="547"/>
      <c r="J2" s="49"/>
      <c r="K2" s="50"/>
      <c r="L2" s="544">
        <f>IF('Page 2'!J47=0,"",IF(OR(L3&lt;&gt;"",L5&lt;&gt;"",L7&lt;&gt;"",L8&lt;&gt;"",L9&lt;&gt;"",L11&lt;&gt;"",L13&lt;&gt;"",L14&lt;&gt;"",L15&lt;&gt;"",L17&lt;&gt;"",A12&lt;&gt;""),"ALERT: The following items need to be addressed before the AFR is submitted",""))</f>
      </c>
      <c r="M2" s="544"/>
      <c r="N2" s="544"/>
      <c r="O2" s="544"/>
      <c r="P2" s="544"/>
      <c r="Q2" s="544"/>
      <c r="R2" s="544"/>
    </row>
    <row r="3" spans="1:18" ht="12.75" customHeight="1">
      <c r="A3" s="70"/>
      <c r="B3" s="70"/>
      <c r="C3" s="70"/>
      <c r="D3" s="531"/>
      <c r="E3" s="531"/>
      <c r="F3" s="531"/>
      <c r="G3" s="531"/>
      <c r="H3" s="531"/>
      <c r="I3" s="531"/>
      <c r="J3" s="49"/>
      <c r="K3" s="50"/>
      <c r="L3" s="526">
        <f>IF('Page 2'!J47=0,"",IF(OR('Page 4'!F35&lt;=0,'Page 4'!G35&lt;=0,'Page 4'!H35&lt;=0),"See Pages 3 and 4. Classroom Site Project information is not complete. Ensure that all revenues and expenses  have been included.",""))</f>
      </c>
      <c r="M3" s="526"/>
      <c r="N3" s="526"/>
      <c r="O3" s="526"/>
      <c r="P3" s="526"/>
      <c r="Q3" s="526"/>
      <c r="R3" s="526"/>
    </row>
    <row r="4" spans="1:18" ht="12.75" customHeight="1">
      <c r="A4" s="70"/>
      <c r="B4" s="70"/>
      <c r="C4" s="70"/>
      <c r="D4" s="547" t="s">
        <v>137</v>
      </c>
      <c r="E4" s="547"/>
      <c r="F4" s="547"/>
      <c r="G4" s="547"/>
      <c r="H4" s="547"/>
      <c r="I4" s="547"/>
      <c r="J4" s="49"/>
      <c r="K4" s="50"/>
      <c r="L4" s="526"/>
      <c r="M4" s="526"/>
      <c r="N4" s="526"/>
      <c r="O4" s="526"/>
      <c r="P4" s="526"/>
      <c r="Q4" s="526"/>
      <c r="R4" s="526"/>
    </row>
    <row r="5" spans="1:18" ht="12.75" customHeight="1">
      <c r="A5" s="70"/>
      <c r="B5" s="70"/>
      <c r="C5" s="70"/>
      <c r="D5" s="49"/>
      <c r="E5" s="49"/>
      <c r="F5" s="49"/>
      <c r="G5" s="49"/>
      <c r="H5" s="49"/>
      <c r="I5" s="49"/>
      <c r="J5" s="49"/>
      <c r="K5" s="50"/>
      <c r="L5" s="526">
        <f>IF('Page 2'!J47=0,"",IF('Page 5'!F16&lt;=0,"Page 5, Instructional Improvement Project information is not complete. Ensure that all revenues and expenses have been included.",""))</f>
      </c>
      <c r="M5" s="526"/>
      <c r="N5" s="526"/>
      <c r="O5" s="526"/>
      <c r="P5" s="526"/>
      <c r="Q5" s="526"/>
      <c r="R5" s="526"/>
    </row>
    <row r="6" spans="1:18" ht="18" customHeight="1">
      <c r="A6" s="54"/>
      <c r="B6" s="546" t="s">
        <v>470</v>
      </c>
      <c r="C6" s="546"/>
      <c r="D6" s="546"/>
      <c r="E6" s="546"/>
      <c r="F6" s="546"/>
      <c r="G6" s="546"/>
      <c r="H6" s="546"/>
      <c r="I6" s="546"/>
      <c r="J6" s="56"/>
      <c r="L6" s="526"/>
      <c r="M6" s="526"/>
      <c r="N6" s="526"/>
      <c r="O6" s="526"/>
      <c r="P6" s="526"/>
      <c r="Q6" s="526"/>
      <c r="R6" s="526"/>
    </row>
    <row r="7" spans="1:18" ht="18" customHeight="1">
      <c r="A7" s="54"/>
      <c r="B7" s="54"/>
      <c r="C7" s="54"/>
      <c r="D7" s="54"/>
      <c r="E7" s="54"/>
      <c r="F7" s="54"/>
      <c r="G7" s="54"/>
      <c r="H7" s="49"/>
      <c r="I7" s="49"/>
      <c r="J7" s="55"/>
      <c r="L7" s="528">
        <f>IF('Page 2'!J47=0,"",IF(OR('Page 7'!G30&lt;=0,'Page 7'!G31&lt;=0,'Page 7'!G32&lt;=0,'Page 7'!G33&lt;=0,'Page 7'!G34&lt;=0,'Page 7'!G36&lt;=0,'Page 7'!G37&lt;=0),"Page 7, Section E, Current Expenses table is not complete.",""))</f>
      </c>
      <c r="M7" s="528"/>
      <c r="N7" s="528"/>
      <c r="O7" s="528"/>
      <c r="P7" s="528"/>
      <c r="Q7" s="528"/>
      <c r="R7" s="528"/>
    </row>
    <row r="8" spans="1:18" ht="18" customHeight="1">
      <c r="A8" s="59"/>
      <c r="B8" s="549" t="s">
        <v>118</v>
      </c>
      <c r="C8" s="549"/>
      <c r="D8" s="549"/>
      <c r="E8" s="549"/>
      <c r="F8" s="549"/>
      <c r="G8" s="549"/>
      <c r="H8" s="549"/>
      <c r="I8" s="549"/>
      <c r="J8" s="56"/>
      <c r="K8" s="50"/>
      <c r="L8" s="529">
        <f>IF('Page 2'!J47=0,"",IF(SUM('Page 7'!M19:T23)&lt;=0,"Page 7, Section G, Teachers Salaries table is not complete.",""))</f>
      </c>
      <c r="M8" s="529"/>
      <c r="N8" s="529"/>
      <c r="O8" s="529"/>
      <c r="P8" s="529"/>
      <c r="Q8" s="529"/>
      <c r="R8" s="529"/>
    </row>
    <row r="9" spans="1:18" ht="12.75" customHeight="1">
      <c r="A9" s="59"/>
      <c r="B9" s="59"/>
      <c r="C9" s="59"/>
      <c r="D9" s="59"/>
      <c r="E9" s="59"/>
      <c r="F9" s="59"/>
      <c r="G9" s="59"/>
      <c r="H9" s="49"/>
      <c r="I9" s="49"/>
      <c r="J9" s="55"/>
      <c r="K9" s="50"/>
      <c r="L9" s="526">
        <f>IF('Page 2'!J47=0,"",IF(AND('Page 2'!J36&gt;0,'Page 8'!T23&lt;&gt;'Page 2'!J36),"Page 8, Section C, Special Education Programs By Type table does not include all Program 200 SPED expenditures. This total should agree to Page 2, line 27.",""))</f>
      </c>
      <c r="M9" s="526"/>
      <c r="N9" s="526"/>
      <c r="O9" s="526"/>
      <c r="P9" s="526"/>
      <c r="Q9" s="526"/>
      <c r="R9" s="526"/>
    </row>
    <row r="10" spans="1:18" ht="12.75" customHeight="1">
      <c r="A10" s="59"/>
      <c r="B10" s="550" t="s">
        <v>120</v>
      </c>
      <c r="C10" s="550"/>
      <c r="D10" s="550"/>
      <c r="E10" s="550"/>
      <c r="F10" s="550"/>
      <c r="G10" s="550"/>
      <c r="H10" s="550"/>
      <c r="I10" s="550"/>
      <c r="J10" s="56"/>
      <c r="L10" s="526"/>
      <c r="M10" s="526"/>
      <c r="N10" s="526"/>
      <c r="O10" s="526"/>
      <c r="P10" s="526"/>
      <c r="Q10" s="526"/>
      <c r="R10" s="526"/>
    </row>
    <row r="11" spans="1:18" ht="12.75" customHeight="1">
      <c r="A11" s="528"/>
      <c r="B11" s="528"/>
      <c r="C11" s="528"/>
      <c r="D11" s="528"/>
      <c r="E11" s="528"/>
      <c r="F11" s="528"/>
      <c r="G11" s="528"/>
      <c r="H11" s="528"/>
      <c r="I11" s="528"/>
      <c r="J11" s="553"/>
      <c r="K11" s="50"/>
      <c r="L11" s="527">
        <f>IF('Page 2'!J47=0,"",IF((SUM('Page 2'!J47))&gt;(SUM('Page 10'!D24:J24)+SUM('Page 10'!D31:D34)+'Page 10'!D45),"Page 10, NPEFS information is not accurate based on amounts reported throughout the AFR.",""))</f>
      </c>
      <c r="M11" s="527"/>
      <c r="N11" s="527"/>
      <c r="O11" s="527"/>
      <c r="P11" s="527"/>
      <c r="Q11" s="527"/>
      <c r="R11" s="527"/>
    </row>
    <row r="12" spans="1:18" ht="23.25" customHeight="1">
      <c r="A12" s="554">
        <f>IF('Page 2'!J47=0,"",IF(OR('Page 7'!T30=""),"Page 7, Section H, FY 2018 Additional Teacher Salary Increases table is not complete.",""))</f>
      </c>
      <c r="B12" s="554"/>
      <c r="C12" s="554"/>
      <c r="D12" s="554"/>
      <c r="E12" s="554"/>
      <c r="F12" s="554"/>
      <c r="G12" s="554"/>
      <c r="H12" s="554"/>
      <c r="I12" s="554"/>
      <c r="J12" s="555"/>
      <c r="K12" s="64"/>
      <c r="L12" s="527"/>
      <c r="M12" s="527"/>
      <c r="N12" s="527"/>
      <c r="O12" s="527"/>
      <c r="P12" s="527"/>
      <c r="Q12" s="527"/>
      <c r="R12" s="527"/>
    </row>
    <row r="13" spans="1:18" ht="25.5" customHeight="1">
      <c r="A13" s="49"/>
      <c r="B13" s="49"/>
      <c r="C13" s="49"/>
      <c r="D13" s="49"/>
      <c r="E13" s="49"/>
      <c r="F13" s="49"/>
      <c r="G13" s="49"/>
      <c r="H13" s="50"/>
      <c r="I13" s="50"/>
      <c r="J13" s="57"/>
      <c r="K13" s="50"/>
      <c r="L13" s="527">
        <f>IF('Page 2'!J47=0,"",IF('Page 1'!H33&lt;('Page 9'!F23+'[3]Food Service AFR'!E10+'[3]Food Service AFR'!E11),"Federal Revenues on Page 1 should be greater than or equal to Federal Revenues for projects 1100-1399 on Page 9 and the Federal Revenues reported on the Food Service AFR, lines 4 &amp; 5.",""))</f>
      </c>
      <c r="M13" s="527"/>
      <c r="N13" s="527"/>
      <c r="O13" s="527"/>
      <c r="P13" s="527"/>
      <c r="Q13" s="527"/>
      <c r="R13" s="527"/>
    </row>
    <row r="14" spans="1:18" ht="26.25" customHeight="1">
      <c r="A14" s="49"/>
      <c r="B14" s="551" t="s">
        <v>507</v>
      </c>
      <c r="C14" s="552"/>
      <c r="D14" s="552"/>
      <c r="E14" s="552"/>
      <c r="F14" s="552"/>
      <c r="G14" s="552"/>
      <c r="H14" s="552"/>
      <c r="I14" s="552"/>
      <c r="J14" s="57"/>
      <c r="K14" s="50"/>
      <c r="L14" s="530">
        <f>IF('Page 2'!J47=0,"",IF(OR('Page 7'!G14="",'Page 7'!G15="",'Page 7'!G16="",'Page 7'!G17="",'Page 7'!G18=""),"Page 7, Section C is not complete.  If no capital acquisitions were made, please enter a 0 value for each line.",""))</f>
      </c>
      <c r="M14" s="530"/>
      <c r="N14" s="530"/>
      <c r="O14" s="530"/>
      <c r="P14" s="530"/>
      <c r="Q14" s="530"/>
      <c r="R14" s="530"/>
    </row>
    <row r="15" spans="10:18" ht="12.75" customHeight="1">
      <c r="J15" s="492"/>
      <c r="K15" s="50"/>
      <c r="L15" s="527">
        <f>IF('Page 2'!J47=0,"",IF(OR('Page 10'!D38="",'Page 10'!D39="",'Page 10'!D40="",'Page 10'!D41=""),"Page 10, Property Disbursements by Type Table is not complete. If no disbursements made, please enter a 0 value as this information is needed for NPEFS reporting.",""))</f>
      </c>
      <c r="M15" s="527"/>
      <c r="N15" s="527"/>
      <c r="O15" s="527"/>
      <c r="P15" s="527"/>
      <c r="Q15" s="527"/>
      <c r="R15" s="527"/>
    </row>
    <row r="16" spans="1:20" ht="12.75" customHeight="1">
      <c r="A16" s="49"/>
      <c r="B16" s="49"/>
      <c r="C16" s="49"/>
      <c r="D16" s="49"/>
      <c r="E16" s="49"/>
      <c r="F16" s="49"/>
      <c r="G16" s="49"/>
      <c r="H16" s="50"/>
      <c r="I16" s="50"/>
      <c r="J16" s="57"/>
      <c r="K16" s="50"/>
      <c r="L16" s="527"/>
      <c r="M16" s="527"/>
      <c r="N16" s="527"/>
      <c r="O16" s="527"/>
      <c r="P16" s="527"/>
      <c r="Q16" s="527"/>
      <c r="R16" s="527"/>
      <c r="S16" s="49"/>
      <c r="T16" s="49"/>
    </row>
    <row r="17" spans="1:20" ht="12.75" customHeight="1">
      <c r="A17" s="49"/>
      <c r="B17" s="50"/>
      <c r="C17" s="50"/>
      <c r="D17" s="50"/>
      <c r="E17" s="50"/>
      <c r="F17" s="50"/>
      <c r="G17" s="50"/>
      <c r="H17" s="50"/>
      <c r="I17" s="50"/>
      <c r="J17" s="57"/>
      <c r="K17" s="50"/>
      <c r="L17" s="527">
        <f>IF('Page 2'!J47=0,"",IF(SUM('Page 4'!F33:H33)+SUM('Page 5'!F16)+SUM('Page 6'!G8)+SUM('Page 6'!G30)&gt;'Page 1'!H22,"Page 1, line 16. 3200-Restricted revenues should be greater than or equal to total revenue amounts on Pages 4-6 for CSP, IIP, SEIP and CIP.",""))</f>
      </c>
      <c r="M17" s="527"/>
      <c r="N17" s="527"/>
      <c r="O17" s="527"/>
      <c r="P17" s="527"/>
      <c r="Q17" s="527"/>
      <c r="R17" s="527"/>
      <c r="S17" s="53"/>
      <c r="T17" s="53"/>
    </row>
    <row r="18" spans="1:20" ht="12.75" customHeight="1">
      <c r="A18" s="532"/>
      <c r="B18" s="532"/>
      <c r="C18" s="532"/>
      <c r="D18" s="532"/>
      <c r="E18" s="532"/>
      <c r="F18" s="58"/>
      <c r="G18" s="531" t="s">
        <v>3</v>
      </c>
      <c r="H18" s="531"/>
      <c r="I18" s="531"/>
      <c r="J18" s="57"/>
      <c r="L18" s="527"/>
      <c r="M18" s="527"/>
      <c r="N18" s="527"/>
      <c r="O18" s="527"/>
      <c r="P18" s="527"/>
      <c r="Q18" s="527"/>
      <c r="R18" s="527"/>
      <c r="S18" s="58"/>
      <c r="T18" s="58"/>
    </row>
    <row r="19" spans="1:20" ht="12.75" customHeight="1">
      <c r="A19" s="49"/>
      <c r="B19" s="49"/>
      <c r="C19" s="49"/>
      <c r="D19" s="49"/>
      <c r="E19" s="49"/>
      <c r="F19" s="49"/>
      <c r="G19" s="49"/>
      <c r="H19" s="59"/>
      <c r="I19" s="59"/>
      <c r="J19" s="56"/>
      <c r="L19" s="538" t="s">
        <v>471</v>
      </c>
      <c r="M19" s="539"/>
      <c r="N19" s="539"/>
      <c r="O19" s="539"/>
      <c r="P19" s="539"/>
      <c r="Q19" s="539"/>
      <c r="R19" s="539"/>
      <c r="S19" s="58"/>
      <c r="T19" s="58"/>
    </row>
    <row r="20" spans="1:18" ht="12.75" customHeight="1">
      <c r="A20" s="532"/>
      <c r="B20" s="532"/>
      <c r="C20" s="532"/>
      <c r="D20" s="532"/>
      <c r="E20" s="532"/>
      <c r="F20" s="58"/>
      <c r="G20" s="531" t="s">
        <v>3</v>
      </c>
      <c r="H20" s="531"/>
      <c r="I20" s="531"/>
      <c r="J20" s="56"/>
      <c r="L20" s="160" t="s">
        <v>466</v>
      </c>
      <c r="N20" s="66">
        <v>43382</v>
      </c>
      <c r="O20" s="541" t="s">
        <v>121</v>
      </c>
      <c r="P20" s="541"/>
      <c r="Q20" s="541"/>
      <c r="R20" s="541"/>
    </row>
    <row r="21" spans="1:18" ht="12.75" customHeight="1">
      <c r="A21" s="61"/>
      <c r="B21" s="61"/>
      <c r="C21" s="61"/>
      <c r="D21" s="61"/>
      <c r="E21" s="61"/>
      <c r="F21" s="49"/>
      <c r="G21" s="61"/>
      <c r="H21" s="50"/>
      <c r="I21" s="50"/>
      <c r="J21" s="56"/>
      <c r="L21" s="540" t="s">
        <v>122</v>
      </c>
      <c r="M21" s="540"/>
      <c r="N21" s="540"/>
      <c r="O21" s="60"/>
      <c r="P21" s="60"/>
      <c r="Q21" s="60"/>
      <c r="R21" s="60"/>
    </row>
    <row r="22" spans="1:18" ht="12.75" customHeight="1">
      <c r="A22" s="532"/>
      <c r="B22" s="532"/>
      <c r="C22" s="532"/>
      <c r="D22" s="532"/>
      <c r="E22" s="532"/>
      <c r="F22" s="58"/>
      <c r="G22" s="531"/>
      <c r="H22" s="531"/>
      <c r="I22" s="531"/>
      <c r="J22" s="56"/>
      <c r="L22" s="53"/>
      <c r="M22" s="60"/>
      <c r="N22" s="60"/>
      <c r="O22" s="60"/>
      <c r="P22" s="60"/>
      <c r="Q22" s="60"/>
      <c r="R22" s="60"/>
    </row>
    <row r="23" spans="1:18" ht="12.75" customHeight="1">
      <c r="A23" s="61"/>
      <c r="B23" s="61"/>
      <c r="C23" s="61"/>
      <c r="D23" s="61"/>
      <c r="E23" s="61"/>
      <c r="F23" s="49"/>
      <c r="G23" s="61"/>
      <c r="H23" s="50"/>
      <c r="I23" s="50"/>
      <c r="J23" s="57"/>
      <c r="L23" s="532"/>
      <c r="M23" s="532"/>
      <c r="N23" s="532"/>
      <c r="O23" s="53"/>
      <c r="P23" s="531" t="s">
        <v>522</v>
      </c>
      <c r="Q23" s="531"/>
      <c r="R23" s="531"/>
    </row>
    <row r="24" spans="1:18" ht="12.75" customHeight="1">
      <c r="A24" s="532"/>
      <c r="B24" s="532"/>
      <c r="C24" s="532"/>
      <c r="D24" s="532"/>
      <c r="E24" s="532"/>
      <c r="F24" s="58"/>
      <c r="G24" s="531"/>
      <c r="H24" s="531"/>
      <c r="I24" s="531"/>
      <c r="J24" s="57"/>
      <c r="L24" s="533" t="s">
        <v>387</v>
      </c>
      <c r="M24" s="534"/>
      <c r="N24" s="534"/>
      <c r="O24" s="53"/>
      <c r="P24" s="534" t="s">
        <v>264</v>
      </c>
      <c r="Q24" s="534"/>
      <c r="R24" s="534"/>
    </row>
    <row r="25" spans="1:18" ht="12.75" customHeight="1">
      <c r="A25" s="49"/>
      <c r="B25" s="49"/>
      <c r="C25" s="49"/>
      <c r="D25" s="59"/>
      <c r="E25" s="59"/>
      <c r="F25" s="59"/>
      <c r="G25" s="59"/>
      <c r="H25" s="63"/>
      <c r="I25" s="63"/>
      <c r="J25" s="57"/>
      <c r="L25" s="545" t="s">
        <v>521</v>
      </c>
      <c r="M25" s="545"/>
      <c r="N25" s="545"/>
      <c r="O25" s="49"/>
      <c r="P25" s="49"/>
      <c r="Q25" s="49"/>
      <c r="R25" s="49"/>
    </row>
    <row r="26" spans="1:14" s="53" customFormat="1" ht="12.75" customHeight="1">
      <c r="A26" s="532"/>
      <c r="B26" s="532"/>
      <c r="C26" s="532"/>
      <c r="D26" s="532"/>
      <c r="E26" s="532"/>
      <c r="F26" s="58"/>
      <c r="G26" s="531"/>
      <c r="H26" s="531"/>
      <c r="I26" s="531"/>
      <c r="J26" s="57"/>
      <c r="L26" s="533" t="s">
        <v>407</v>
      </c>
      <c r="M26" s="534"/>
      <c r="N26" s="534"/>
    </row>
    <row r="27" spans="1:18" s="53" customFormat="1" ht="12.75" customHeight="1">
      <c r="A27" s="49"/>
      <c r="B27" s="49"/>
      <c r="C27" s="49"/>
      <c r="D27" s="59"/>
      <c r="E27" s="59"/>
      <c r="F27" s="59"/>
      <c r="G27" s="59"/>
      <c r="H27" s="63"/>
      <c r="I27" s="63"/>
      <c r="J27" s="62"/>
      <c r="L27" s="556"/>
      <c r="M27" s="556"/>
      <c r="N27" s="556"/>
      <c r="O27" s="496"/>
      <c r="P27" s="535"/>
      <c r="Q27" s="535"/>
      <c r="R27" s="535"/>
    </row>
    <row r="28" spans="1:18" s="53" customFormat="1" ht="12.75" customHeight="1">
      <c r="A28" s="532"/>
      <c r="B28" s="532"/>
      <c r="C28" s="532"/>
      <c r="D28" s="532"/>
      <c r="E28" s="532"/>
      <c r="F28" s="58"/>
      <c r="G28" s="531"/>
      <c r="H28" s="531"/>
      <c r="I28" s="531"/>
      <c r="J28" s="62"/>
      <c r="L28" s="532"/>
      <c r="M28" s="532"/>
      <c r="N28" s="532"/>
      <c r="P28" s="531" t="s">
        <v>525</v>
      </c>
      <c r="Q28" s="531"/>
      <c r="R28" s="531"/>
    </row>
    <row r="29" spans="4:18" s="49" customFormat="1" ht="12.75" customHeight="1">
      <c r="D29" s="59"/>
      <c r="E29" s="59"/>
      <c r="F29" s="59"/>
      <c r="G29" s="59"/>
      <c r="H29" s="63"/>
      <c r="I29" s="63"/>
      <c r="J29" s="62"/>
      <c r="K29" s="53"/>
      <c r="L29" s="533" t="s">
        <v>387</v>
      </c>
      <c r="M29" s="533"/>
      <c r="N29" s="533"/>
      <c r="O29" s="53"/>
      <c r="P29" s="534" t="s">
        <v>264</v>
      </c>
      <c r="Q29" s="534"/>
      <c r="R29" s="534"/>
    </row>
    <row r="30" spans="1:19" s="53" customFormat="1" ht="12.75" customHeight="1">
      <c r="A30" s="532"/>
      <c r="B30" s="532"/>
      <c r="C30" s="532"/>
      <c r="D30" s="532"/>
      <c r="E30" s="532"/>
      <c r="F30" s="58"/>
      <c r="G30" s="531"/>
      <c r="H30" s="531"/>
      <c r="I30" s="531"/>
      <c r="J30" s="63"/>
      <c r="K30" s="498"/>
      <c r="L30" s="545" t="s">
        <v>524</v>
      </c>
      <c r="M30" s="545"/>
      <c r="N30" s="545"/>
      <c r="O30" s="49"/>
      <c r="P30" s="49"/>
      <c r="Q30" s="49"/>
      <c r="R30" s="49"/>
      <c r="S30" s="497"/>
    </row>
    <row r="31" spans="1:19" s="49" customFormat="1" ht="26.25" customHeight="1">
      <c r="A31" s="547" t="s">
        <v>119</v>
      </c>
      <c r="B31" s="547"/>
      <c r="C31" s="547"/>
      <c r="D31" s="547"/>
      <c r="E31" s="547"/>
      <c r="F31" s="58"/>
      <c r="G31" s="547" t="s">
        <v>2</v>
      </c>
      <c r="H31" s="547"/>
      <c r="I31" s="547"/>
      <c r="J31" s="62"/>
      <c r="K31" s="498"/>
      <c r="L31" s="533" t="s">
        <v>407</v>
      </c>
      <c r="M31" s="533"/>
      <c r="N31" s="533"/>
      <c r="O31" s="53"/>
      <c r="P31" s="53"/>
      <c r="Q31" s="53"/>
      <c r="R31" s="53"/>
      <c r="S31" s="497"/>
    </row>
    <row r="32" spans="10:18" s="53" customFormat="1" ht="12.75" customHeight="1">
      <c r="J32" s="62"/>
      <c r="K32" s="499"/>
      <c r="L32" s="500" t="s">
        <v>178</v>
      </c>
      <c r="M32" s="500"/>
      <c r="N32" s="500"/>
      <c r="O32" s="500"/>
      <c r="P32" s="501"/>
      <c r="Q32" s="501"/>
      <c r="R32" s="501"/>
    </row>
    <row r="33" spans="10:18" s="49" customFormat="1" ht="12.75" customHeight="1">
      <c r="J33" s="62"/>
      <c r="L33" s="160" t="s">
        <v>435</v>
      </c>
      <c r="M33" s="160"/>
      <c r="N33" s="160"/>
      <c r="O33" s="160"/>
      <c r="P33" s="157" t="s">
        <v>52</v>
      </c>
      <c r="Q33" s="542">
        <f>TotExpSchoolwide</f>
        <v>2896912</v>
      </c>
      <c r="R33" s="543"/>
    </row>
    <row r="34" spans="10:18" s="53" customFormat="1" ht="12.75" customHeight="1">
      <c r="J34" s="57"/>
      <c r="L34" s="160" t="s">
        <v>436</v>
      </c>
      <c r="M34" s="160"/>
      <c r="N34" s="160"/>
      <c r="O34" s="160"/>
      <c r="P34" s="157" t="s">
        <v>52</v>
      </c>
      <c r="Q34" s="536">
        <f>SP1000ClassSiteProj</f>
        <v>255317</v>
      </c>
      <c r="R34" s="537"/>
    </row>
    <row r="35" spans="10:18" s="53" customFormat="1" ht="12.75" customHeight="1">
      <c r="J35" s="57"/>
      <c r="K35" s="49"/>
      <c r="L35" s="160"/>
      <c r="M35" s="160"/>
      <c r="N35" s="160"/>
      <c r="O35" s="160"/>
      <c r="P35" s="52"/>
      <c r="Q35" s="52"/>
      <c r="R35" s="52"/>
    </row>
    <row r="36" spans="10:18" s="53" customFormat="1" ht="12.75" customHeight="1">
      <c r="J36" s="50"/>
      <c r="L36" s="52"/>
      <c r="M36" s="52"/>
      <c r="N36" s="52"/>
      <c r="O36" s="52"/>
      <c r="P36" s="52"/>
      <c r="Q36" s="52"/>
      <c r="R36" s="52"/>
    </row>
    <row r="37" ht="12.75">
      <c r="K37" s="49"/>
    </row>
    <row r="38" ht="12.75">
      <c r="K38" s="49"/>
    </row>
  </sheetData>
  <sheetProtection sheet="1" formatCells="0" formatColumns="0" formatRows="0"/>
  <mergeCells count="58">
    <mergeCell ref="L30:N30"/>
    <mergeCell ref="L31:N31"/>
    <mergeCell ref="A30:E30"/>
    <mergeCell ref="G30:I30"/>
    <mergeCell ref="L23:N23"/>
    <mergeCell ref="A31:E31"/>
    <mergeCell ref="L27:N27"/>
    <mergeCell ref="G31:I31"/>
    <mergeCell ref="A28:E28"/>
    <mergeCell ref="L29:N29"/>
    <mergeCell ref="B8:I8"/>
    <mergeCell ref="B10:I10"/>
    <mergeCell ref="B14:I14"/>
    <mergeCell ref="A20:E20"/>
    <mergeCell ref="G20:I20"/>
    <mergeCell ref="A18:E18"/>
    <mergeCell ref="A11:J11"/>
    <mergeCell ref="G18:I18"/>
    <mergeCell ref="A12:J12"/>
    <mergeCell ref="B6:I6"/>
    <mergeCell ref="D2:I2"/>
    <mergeCell ref="D3:I3"/>
    <mergeCell ref="D4:I4"/>
    <mergeCell ref="A1:C1"/>
    <mergeCell ref="D1:I1"/>
    <mergeCell ref="Q34:R34"/>
    <mergeCell ref="L19:R19"/>
    <mergeCell ref="L21:N21"/>
    <mergeCell ref="O20:R20"/>
    <mergeCell ref="Q33:R33"/>
    <mergeCell ref="M1:N1"/>
    <mergeCell ref="L2:R2"/>
    <mergeCell ref="P29:R29"/>
    <mergeCell ref="P28:R28"/>
    <mergeCell ref="L25:N25"/>
    <mergeCell ref="A22:E22"/>
    <mergeCell ref="G22:I22"/>
    <mergeCell ref="G26:I26"/>
    <mergeCell ref="A24:E24"/>
    <mergeCell ref="G24:I24"/>
    <mergeCell ref="A26:E26"/>
    <mergeCell ref="G28:I28"/>
    <mergeCell ref="L28:N28"/>
    <mergeCell ref="L15:R16"/>
    <mergeCell ref="L26:N26"/>
    <mergeCell ref="L24:N24"/>
    <mergeCell ref="P23:R23"/>
    <mergeCell ref="P24:R24"/>
    <mergeCell ref="P27:R27"/>
    <mergeCell ref="L9:R10"/>
    <mergeCell ref="L17:R18"/>
    <mergeCell ref="L13:R13"/>
    <mergeCell ref="L3:R4"/>
    <mergeCell ref="L5:R6"/>
    <mergeCell ref="L7:R7"/>
    <mergeCell ref="L8:R8"/>
    <mergeCell ref="L11:R12"/>
    <mergeCell ref="L14:R14"/>
  </mergeCells>
  <conditionalFormatting sqref="L5 L13 L2:L3 L7:L9 L11 A11 A12">
    <cfRule type="expression" priority="10" dxfId="0" stopIfTrue="1">
      <formula>A2&lt;&gt;""</formula>
    </cfRule>
  </conditionalFormatting>
  <conditionalFormatting sqref="L14">
    <cfRule type="expression" priority="5" dxfId="0" stopIfTrue="1">
      <formula>L14&lt;&gt;""</formula>
    </cfRule>
  </conditionalFormatting>
  <conditionalFormatting sqref="L15">
    <cfRule type="expression" priority="4" dxfId="0" stopIfTrue="1">
      <formula>L15&lt;&gt;""</formula>
    </cfRule>
  </conditionalFormatting>
  <conditionalFormatting sqref="L17">
    <cfRule type="expression" priority="1" dxfId="0" stopIfTrue="1">
      <formula>L17&lt;&gt;""</formula>
    </cfRule>
  </conditionalFormatting>
  <dataValidations count="2">
    <dataValidation type="textLength" operator="equal" showInputMessage="1" showErrorMessage="1" prompt="This cell will only accept entries equal to 9 digits.  Charter schools must enter their CTD number plus 3 zeros." sqref="R1">
      <formula1>9</formula1>
    </dataValidation>
    <dataValidation type="date" operator="greaterThanOrEqual" allowBlank="1" showInputMessage="1" showErrorMessage="1" promptTitle="Enter Date as" prompt="MM/DD/YYYY" errorTitle="Date" error="Enter Valid Date&#10;MM/DD/YYYY" sqref="N20">
      <formula1>42962</formula1>
    </dataValidation>
  </dataValidations>
  <printOptions horizontalCentered="1"/>
  <pageMargins left="0.75" right="0.75" top="0.75" bottom="0.75" header="0.5" footer="0.5"/>
  <pageSetup fitToHeight="1" fitToWidth="1" horizontalDpi="600" verticalDpi="600" orientation="landscape" scale="76" r:id="rId2"/>
  <headerFooter alignWithMargins="0">
    <oddFooter>&amp;LRev. 8/18&amp;CFY 2018</oddFooter>
  </headerFooter>
  <ignoredErrors>
    <ignoredError sqref="L17" formulaRange="1"/>
  </ignoredErrors>
  <drawing r:id="rId1"/>
</worksheet>
</file>

<file path=xl/worksheets/sheet10.xml><?xml version="1.0" encoding="utf-8"?>
<worksheet xmlns="http://schemas.openxmlformats.org/spreadsheetml/2006/main" xmlns:r="http://schemas.openxmlformats.org/officeDocument/2006/relationships">
  <sheetPr>
    <pageSetUpPr fitToPage="1"/>
  </sheetPr>
  <dimension ref="A1:N40"/>
  <sheetViews>
    <sheetView showGridLines="0" workbookViewId="0" topLeftCell="A1">
      <selection activeCell="J1" sqref="J1"/>
    </sheetView>
  </sheetViews>
  <sheetFormatPr defaultColWidth="9.33203125" defaultRowHeight="12.75"/>
  <cols>
    <col min="1" max="1" width="21.5" style="3" customWidth="1"/>
    <col min="2" max="2" width="19.33203125" style="3" customWidth="1"/>
    <col min="3" max="3" width="10.66015625" style="3" customWidth="1"/>
    <col min="4" max="4" width="3.83203125" style="10" customWidth="1"/>
    <col min="5" max="10" width="13.83203125" style="3" customWidth="1"/>
    <col min="11" max="11" width="15.33203125" style="3" customWidth="1"/>
    <col min="12" max="12" width="13.83203125" style="3" customWidth="1"/>
    <col min="13" max="13" width="3.66015625" style="3" bestFit="1" customWidth="1"/>
    <col min="14" max="16384" width="9.33203125" style="3" customWidth="1"/>
  </cols>
  <sheetData>
    <row r="1" spans="1:12" ht="12.75">
      <c r="A1" s="1" t="s">
        <v>0</v>
      </c>
      <c r="B1" s="566" t="str">
        <f>'Cover Page'!D1</f>
        <v>NORTH STAR CHARTER SCHOOL, INC.</v>
      </c>
      <c r="C1" s="566"/>
      <c r="D1" s="566"/>
      <c r="E1" s="2"/>
      <c r="F1" s="4" t="s">
        <v>1</v>
      </c>
      <c r="G1" s="566" t="str">
        <f>'Cover Page'!M1</f>
        <v>MARICOPA</v>
      </c>
      <c r="H1" s="566"/>
      <c r="K1" s="4" t="s">
        <v>138</v>
      </c>
      <c r="L1" s="244" t="str">
        <f>'Cover Page'!R1</f>
        <v>078945000</v>
      </c>
    </row>
    <row r="2" ht="12.75"/>
    <row r="3" spans="1:12" ht="12.75">
      <c r="A3" s="675" t="s">
        <v>126</v>
      </c>
      <c r="B3" s="675"/>
      <c r="C3" s="675"/>
      <c r="D3" s="676"/>
      <c r="E3" s="29" t="s">
        <v>91</v>
      </c>
      <c r="F3" s="29"/>
      <c r="G3" s="29" t="s">
        <v>96</v>
      </c>
      <c r="H3" s="29"/>
      <c r="I3" s="30"/>
      <c r="J3" s="31"/>
      <c r="K3" s="29" t="s">
        <v>93</v>
      </c>
      <c r="L3" s="29" t="s">
        <v>95</v>
      </c>
    </row>
    <row r="4" spans="5:12" ht="12.75">
      <c r="E4" s="225" t="s">
        <v>92</v>
      </c>
      <c r="F4" s="225" t="s">
        <v>68</v>
      </c>
      <c r="G4" s="225" t="s">
        <v>97</v>
      </c>
      <c r="H4" s="225" t="s">
        <v>98</v>
      </c>
      <c r="I4" s="677" t="s">
        <v>85</v>
      </c>
      <c r="J4" s="678"/>
      <c r="K4" s="225" t="s">
        <v>94</v>
      </c>
      <c r="L4" s="225" t="s">
        <v>92</v>
      </c>
    </row>
    <row r="5" spans="1:12" ht="12.75">
      <c r="A5" s="1" t="s">
        <v>69</v>
      </c>
      <c r="E5" s="32" t="s">
        <v>4</v>
      </c>
      <c r="F5" s="32" t="s">
        <v>4</v>
      </c>
      <c r="G5" s="32" t="s">
        <v>4</v>
      </c>
      <c r="H5" s="32" t="s">
        <v>4</v>
      </c>
      <c r="I5" s="21" t="s">
        <v>35</v>
      </c>
      <c r="J5" s="21" t="s">
        <v>4</v>
      </c>
      <c r="K5" s="32" t="s">
        <v>4</v>
      </c>
      <c r="L5" s="32" t="s">
        <v>4</v>
      </c>
    </row>
    <row r="6" spans="1:13" ht="12.75">
      <c r="A6" s="3" t="s">
        <v>308</v>
      </c>
      <c r="D6" s="10" t="s">
        <v>6</v>
      </c>
      <c r="E6" s="77">
        <f>[1]!FP11001130EndBal</f>
        <v>0</v>
      </c>
      <c r="F6" s="67">
        <v>39000</v>
      </c>
      <c r="G6" s="17"/>
      <c r="H6" s="17"/>
      <c r="I6" s="182">
        <v>28000</v>
      </c>
      <c r="J6" s="17">
        <v>39000</v>
      </c>
      <c r="K6" s="17"/>
      <c r="L6" s="23">
        <f>SUM(E6+F6-G6-H6-J6-K6)</f>
        <v>0</v>
      </c>
      <c r="M6" s="3" t="s">
        <v>6</v>
      </c>
    </row>
    <row r="7" spans="1:13" ht="12.75">
      <c r="A7" s="3" t="s">
        <v>309</v>
      </c>
      <c r="D7" s="10" t="s">
        <v>7</v>
      </c>
      <c r="E7" s="77">
        <f>[1]!FP11401150EndBal</f>
        <v>0</v>
      </c>
      <c r="F7" s="17">
        <v>911</v>
      </c>
      <c r="G7" s="17"/>
      <c r="H7" s="17"/>
      <c r="I7" s="182">
        <v>4000</v>
      </c>
      <c r="J7" s="17">
        <v>911</v>
      </c>
      <c r="K7" s="17"/>
      <c r="L7" s="23">
        <f aca="true" t="shared" si="0" ref="L7:L23">SUM(E7+F7-G7-H7-J7-K7)</f>
        <v>0</v>
      </c>
      <c r="M7" s="3" t="s">
        <v>7</v>
      </c>
    </row>
    <row r="8" spans="1:13" ht="12.75">
      <c r="A8" s="3" t="s">
        <v>166</v>
      </c>
      <c r="D8" s="10" t="s">
        <v>8</v>
      </c>
      <c r="E8" s="77">
        <f>[1]!FP1160EndBal</f>
        <v>0</v>
      </c>
      <c r="F8" s="17"/>
      <c r="G8" s="17"/>
      <c r="H8" s="17"/>
      <c r="I8" s="182">
        <f>[2]!FP1160TitleIV</f>
        <v>0</v>
      </c>
      <c r="J8" s="17"/>
      <c r="K8" s="17"/>
      <c r="L8" s="23">
        <f t="shared" si="0"/>
        <v>0</v>
      </c>
      <c r="M8" s="3" t="s">
        <v>8</v>
      </c>
    </row>
    <row r="9" spans="1:13" ht="12.75">
      <c r="A9" s="3" t="s">
        <v>167</v>
      </c>
      <c r="D9" s="10" t="s">
        <v>9</v>
      </c>
      <c r="E9" s="77">
        <f>[1]!FP11701180EndBal</f>
        <v>0</v>
      </c>
      <c r="F9" s="17"/>
      <c r="G9" s="17"/>
      <c r="H9" s="17"/>
      <c r="I9" s="182">
        <f>[2]!FP11701180TitleV</f>
        <v>0</v>
      </c>
      <c r="J9" s="17"/>
      <c r="K9" s="17"/>
      <c r="L9" s="23">
        <f t="shared" si="0"/>
        <v>0</v>
      </c>
      <c r="M9" s="3" t="s">
        <v>9</v>
      </c>
    </row>
    <row r="10" spans="1:13" ht="12.75">
      <c r="A10" s="3" t="s">
        <v>168</v>
      </c>
      <c r="D10" s="10" t="s">
        <v>10</v>
      </c>
      <c r="E10" s="77">
        <f>[1]!FP1190EndBal</f>
        <v>0</v>
      </c>
      <c r="F10" s="17"/>
      <c r="G10" s="17"/>
      <c r="H10" s="17"/>
      <c r="I10" s="182">
        <f>[2]!FP1190TitleIII</f>
        <v>0</v>
      </c>
      <c r="J10" s="17"/>
      <c r="K10" s="17"/>
      <c r="L10" s="23">
        <f t="shared" si="0"/>
        <v>0</v>
      </c>
      <c r="M10" s="3" t="s">
        <v>10</v>
      </c>
    </row>
    <row r="11" spans="1:13" ht="12.75">
      <c r="A11" s="3" t="s">
        <v>169</v>
      </c>
      <c r="D11" s="10" t="s">
        <v>11</v>
      </c>
      <c r="E11" s="77">
        <f>[1]!FP1200EndBal</f>
        <v>0</v>
      </c>
      <c r="F11" s="17"/>
      <c r="G11" s="17"/>
      <c r="H11" s="17"/>
      <c r="I11" s="182">
        <f>[2]!FP1200TitleVII</f>
        <v>0</v>
      </c>
      <c r="J11" s="17"/>
      <c r="K11" s="17"/>
      <c r="L11" s="23">
        <f t="shared" si="0"/>
        <v>0</v>
      </c>
      <c r="M11" s="3" t="s">
        <v>11</v>
      </c>
    </row>
    <row r="12" spans="1:13" ht="12.75">
      <c r="A12" s="3" t="s">
        <v>170</v>
      </c>
      <c r="D12" s="10" t="s">
        <v>12</v>
      </c>
      <c r="E12" s="77">
        <f>[1]!FP1210EndBal</f>
        <v>0</v>
      </c>
      <c r="F12" s="17"/>
      <c r="G12" s="17"/>
      <c r="H12" s="17"/>
      <c r="I12" s="182">
        <f>[2]!FP1210TitleVI</f>
        <v>0</v>
      </c>
      <c r="J12" s="17"/>
      <c r="K12" s="17"/>
      <c r="L12" s="23">
        <f t="shared" si="0"/>
        <v>0</v>
      </c>
      <c r="M12" s="3" t="s">
        <v>12</v>
      </c>
    </row>
    <row r="13" spans="1:13" ht="12.75">
      <c r="A13" s="3" t="s">
        <v>70</v>
      </c>
      <c r="D13" s="10" t="s">
        <v>14</v>
      </c>
      <c r="E13" s="77">
        <f>[1]!FP1220EndBal</f>
        <v>0</v>
      </c>
      <c r="F13" s="17">
        <v>25857</v>
      </c>
      <c r="G13" s="17"/>
      <c r="H13" s="17"/>
      <c r="I13" s="182">
        <v>30000</v>
      </c>
      <c r="J13" s="17">
        <v>25857</v>
      </c>
      <c r="K13" s="17"/>
      <c r="L13" s="23">
        <f t="shared" si="0"/>
        <v>0</v>
      </c>
      <c r="M13" s="3" t="s">
        <v>14</v>
      </c>
    </row>
    <row r="14" spans="1:13" ht="12.75">
      <c r="A14" s="3" t="s">
        <v>71</v>
      </c>
      <c r="D14" s="10" t="s">
        <v>15</v>
      </c>
      <c r="E14" s="77">
        <f>[1]!FP1230EndBal</f>
        <v>0</v>
      </c>
      <c r="F14" s="17"/>
      <c r="G14" s="17"/>
      <c r="H14" s="17"/>
      <c r="I14" s="182">
        <f>[2]!FP1230Johnson</f>
        <v>0</v>
      </c>
      <c r="J14" s="17"/>
      <c r="K14" s="17"/>
      <c r="L14" s="23">
        <f t="shared" si="0"/>
        <v>0</v>
      </c>
      <c r="M14" s="3" t="s">
        <v>15</v>
      </c>
    </row>
    <row r="15" spans="1:13" ht="12.75">
      <c r="A15" s="3" t="s">
        <v>181</v>
      </c>
      <c r="D15" s="10" t="s">
        <v>16</v>
      </c>
      <c r="E15" s="77">
        <f>[1]!FP1240EndBal</f>
        <v>0</v>
      </c>
      <c r="F15" s="17"/>
      <c r="G15" s="17"/>
      <c r="H15" s="17"/>
      <c r="I15" s="182">
        <f>[2]!FP1240WIA</f>
        <v>0</v>
      </c>
      <c r="J15" s="17"/>
      <c r="K15" s="17"/>
      <c r="L15" s="23">
        <f t="shared" si="0"/>
        <v>0</v>
      </c>
      <c r="M15" s="3" t="s">
        <v>16</v>
      </c>
    </row>
    <row r="16" spans="1:13" ht="12.75">
      <c r="A16" s="3" t="s">
        <v>72</v>
      </c>
      <c r="D16" s="10" t="s">
        <v>17</v>
      </c>
      <c r="E16" s="77">
        <f>[1]!FP1250EndBal</f>
        <v>0</v>
      </c>
      <c r="F16" s="17"/>
      <c r="G16" s="17"/>
      <c r="H16" s="17"/>
      <c r="I16" s="182">
        <f>[2]!FP1250AEA</f>
        <v>0</v>
      </c>
      <c r="J16" s="17"/>
      <c r="K16" s="17"/>
      <c r="L16" s="23">
        <f t="shared" si="0"/>
        <v>0</v>
      </c>
      <c r="M16" s="3" t="s">
        <v>17</v>
      </c>
    </row>
    <row r="17" spans="1:13" ht="12.75">
      <c r="A17" s="3" t="s">
        <v>171</v>
      </c>
      <c r="D17" s="10" t="s">
        <v>18</v>
      </c>
      <c r="E17" s="77">
        <f>[1]!FP1260EndBal</f>
        <v>0</v>
      </c>
      <c r="F17" s="17"/>
      <c r="G17" s="17"/>
      <c r="H17" s="17"/>
      <c r="I17" s="182">
        <f>[2]!FP12601270VocEd</f>
        <v>0</v>
      </c>
      <c r="J17" s="17"/>
      <c r="K17" s="17"/>
      <c r="L17" s="23">
        <f t="shared" si="0"/>
        <v>0</v>
      </c>
      <c r="M17" s="3" t="s">
        <v>18</v>
      </c>
    </row>
    <row r="18" spans="1:13" ht="12.75">
      <c r="A18" s="3" t="s">
        <v>197</v>
      </c>
      <c r="D18" s="10" t="s">
        <v>20</v>
      </c>
      <c r="E18" s="77">
        <f>[1]!FP1280EndBal</f>
        <v>0</v>
      </c>
      <c r="F18" s="17"/>
      <c r="G18" s="17"/>
      <c r="H18" s="17"/>
      <c r="I18" s="182">
        <f>[2]!FP1280TitleX</f>
        <v>0</v>
      </c>
      <c r="J18" s="17"/>
      <c r="K18" s="17"/>
      <c r="L18" s="23">
        <f t="shared" si="0"/>
        <v>0</v>
      </c>
      <c r="M18" s="3" t="s">
        <v>20</v>
      </c>
    </row>
    <row r="19" spans="1:13" ht="12.75">
      <c r="A19" s="3" t="s">
        <v>108</v>
      </c>
      <c r="D19" s="10" t="s">
        <v>21</v>
      </c>
      <c r="E19" s="77">
        <f>[1]!FP1290EndBal</f>
        <v>0</v>
      </c>
      <c r="F19" s="17"/>
      <c r="G19" s="17"/>
      <c r="H19" s="17"/>
      <c r="I19" s="182">
        <f>[2]!FP1290Medicaid</f>
        <v>0</v>
      </c>
      <c r="J19" s="17"/>
      <c r="K19" s="17"/>
      <c r="L19" s="23">
        <f t="shared" si="0"/>
        <v>0</v>
      </c>
      <c r="M19" s="3" t="s">
        <v>21</v>
      </c>
    </row>
    <row r="20" spans="1:13" ht="12.75">
      <c r="A20" s="3" t="s">
        <v>109</v>
      </c>
      <c r="D20" s="65" t="s">
        <v>22</v>
      </c>
      <c r="E20" s="77">
        <f>[1]!FP1300EndBal</f>
        <v>0</v>
      </c>
      <c r="F20" s="18"/>
      <c r="G20" s="18"/>
      <c r="H20" s="18"/>
      <c r="I20" s="182">
        <f>[2]!FP1300Charter</f>
        <v>0</v>
      </c>
      <c r="J20" s="18"/>
      <c r="K20" s="18"/>
      <c r="L20" s="23">
        <f t="shared" si="0"/>
        <v>0</v>
      </c>
      <c r="M20" s="24" t="s">
        <v>22</v>
      </c>
    </row>
    <row r="21" spans="1:13" ht="12.75">
      <c r="A21" s="452" t="s">
        <v>393</v>
      </c>
      <c r="B21" s="452"/>
      <c r="C21" s="452"/>
      <c r="D21" s="504" t="s">
        <v>23</v>
      </c>
      <c r="E21" s="467">
        <f>'[1]Page 9'!L21</f>
        <v>0</v>
      </c>
      <c r="F21" s="505"/>
      <c r="G21" s="505"/>
      <c r="H21" s="505"/>
      <c r="I21" s="182">
        <f>[2]!FP13__ImpactAid</f>
        <v>0</v>
      </c>
      <c r="J21" s="505"/>
      <c r="K21" s="505"/>
      <c r="L21" s="95">
        <f t="shared" si="0"/>
        <v>0</v>
      </c>
      <c r="M21" s="24" t="s">
        <v>23</v>
      </c>
    </row>
    <row r="22" spans="1:13" ht="13.5" thickBot="1">
      <c r="A22" s="452" t="s">
        <v>139</v>
      </c>
      <c r="B22" s="452"/>
      <c r="C22" s="452"/>
      <c r="D22" s="65" t="s">
        <v>24</v>
      </c>
      <c r="E22" s="254">
        <f>[1]!FP13101399EndBal</f>
        <v>0</v>
      </c>
      <c r="F22" s="68"/>
      <c r="G22" s="68"/>
      <c r="H22" s="68"/>
      <c r="I22" s="254">
        <f>[2]!FP13101399Other</f>
        <v>0</v>
      </c>
      <c r="J22" s="68"/>
      <c r="K22" s="68"/>
      <c r="L22" s="274">
        <f t="shared" si="0"/>
        <v>0</v>
      </c>
      <c r="M22" s="24" t="s">
        <v>24</v>
      </c>
    </row>
    <row r="23" spans="1:13" ht="13.5" thickBot="1">
      <c r="A23" s="3" t="s">
        <v>394</v>
      </c>
      <c r="D23" s="65" t="s">
        <v>26</v>
      </c>
      <c r="E23" s="446">
        <f>SUM(E6:E22)</f>
        <v>0</v>
      </c>
      <c r="F23" s="28">
        <f aca="true" t="shared" si="1" ref="F23:K23">SUM(F6:F22)</f>
        <v>65768</v>
      </c>
      <c r="G23" s="28">
        <f t="shared" si="1"/>
        <v>0</v>
      </c>
      <c r="H23" s="28">
        <f t="shared" si="1"/>
        <v>0</v>
      </c>
      <c r="I23" s="255">
        <f t="shared" si="1"/>
        <v>62000</v>
      </c>
      <c r="J23" s="28">
        <f t="shared" si="1"/>
        <v>65768</v>
      </c>
      <c r="K23" s="28">
        <f t="shared" si="1"/>
        <v>0</v>
      </c>
      <c r="L23" s="28">
        <f t="shared" si="0"/>
        <v>0</v>
      </c>
      <c r="M23" s="24" t="s">
        <v>26</v>
      </c>
    </row>
    <row r="24" spans="1:12" ht="13.5" thickTop="1">
      <c r="A24" s="1" t="s">
        <v>73</v>
      </c>
      <c r="E24" s="8"/>
      <c r="F24" s="8"/>
      <c r="G24" s="8"/>
      <c r="H24" s="8"/>
      <c r="I24" s="242"/>
      <c r="J24" s="8"/>
      <c r="K24" s="8"/>
      <c r="L24" s="8"/>
    </row>
    <row r="25" spans="1:13" ht="12.75">
      <c r="A25" s="3" t="s">
        <v>74</v>
      </c>
      <c r="D25" s="65" t="s">
        <v>27</v>
      </c>
      <c r="E25" s="43">
        <f>[1]!StP1400EndBal</f>
        <v>0</v>
      </c>
      <c r="F25" s="67"/>
      <c r="G25" s="33"/>
      <c r="H25" s="17"/>
      <c r="I25" s="182">
        <f>[2]!SP1400VocEd</f>
        <v>0</v>
      </c>
      <c r="J25" s="17"/>
      <c r="K25" s="17"/>
      <c r="L25" s="23">
        <f aca="true" t="shared" si="2" ref="L25:L37">SUM(E25+F25-G25-H25-J25-K25)</f>
        <v>0</v>
      </c>
      <c r="M25" s="24" t="s">
        <v>27</v>
      </c>
    </row>
    <row r="26" spans="1:13" ht="12.75">
      <c r="A26" s="3" t="s">
        <v>110</v>
      </c>
      <c r="D26" s="65" t="s">
        <v>28</v>
      </c>
      <c r="E26" s="43">
        <f>[1]!StP1410EndBal</f>
        <v>0</v>
      </c>
      <c r="F26" s="67"/>
      <c r="G26" s="33"/>
      <c r="H26" s="17"/>
      <c r="I26" s="182">
        <f>[2]!SP1410EarlyChildhoodBlockGrant</f>
        <v>0</v>
      </c>
      <c r="J26" s="17"/>
      <c r="K26" s="17"/>
      <c r="L26" s="23">
        <f t="shared" si="2"/>
        <v>0</v>
      </c>
      <c r="M26" s="24" t="s">
        <v>28</v>
      </c>
    </row>
    <row r="27" spans="1:13" ht="12.75">
      <c r="A27" s="3" t="s">
        <v>172</v>
      </c>
      <c r="D27" s="65" t="s">
        <v>29</v>
      </c>
      <c r="E27" s="43">
        <f>[1]!StP1420EndBal</f>
        <v>0</v>
      </c>
      <c r="F27" s="17"/>
      <c r="G27" s="33"/>
      <c r="H27" s="17"/>
      <c r="I27" s="182">
        <f>[2]!FP1420ExtendedSchool</f>
        <v>0</v>
      </c>
      <c r="J27" s="17"/>
      <c r="K27" s="17"/>
      <c r="L27" s="23">
        <f t="shared" si="2"/>
        <v>0</v>
      </c>
      <c r="M27" s="24" t="s">
        <v>29</v>
      </c>
    </row>
    <row r="28" spans="1:13" ht="12.75">
      <c r="A28" s="3" t="s">
        <v>235</v>
      </c>
      <c r="D28" s="65" t="s">
        <v>30</v>
      </c>
      <c r="E28" s="43">
        <f>[1]!StP1425EndBal</f>
        <v>0</v>
      </c>
      <c r="F28" s="17"/>
      <c r="G28" s="33"/>
      <c r="H28" s="17"/>
      <c r="I28" s="182">
        <f>[2]!SP1425AdultBasicEd</f>
        <v>0</v>
      </c>
      <c r="J28" s="17"/>
      <c r="K28" s="17"/>
      <c r="L28" s="23">
        <f t="shared" si="2"/>
        <v>0</v>
      </c>
      <c r="M28" s="24" t="s">
        <v>30</v>
      </c>
    </row>
    <row r="29" spans="1:13" ht="12.75">
      <c r="A29" s="3" t="s">
        <v>75</v>
      </c>
      <c r="D29" s="65" t="s">
        <v>31</v>
      </c>
      <c r="E29" s="43">
        <f>[1]!StP1430EndBal</f>
        <v>0</v>
      </c>
      <c r="F29" s="17"/>
      <c r="G29" s="33"/>
      <c r="H29" s="17"/>
      <c r="I29" s="182">
        <f>[2]!SP1430ChemicalAbuse</f>
        <v>0</v>
      </c>
      <c r="J29" s="17"/>
      <c r="K29" s="17"/>
      <c r="L29" s="23">
        <f t="shared" si="2"/>
        <v>0</v>
      </c>
      <c r="M29" s="24" t="s">
        <v>31</v>
      </c>
    </row>
    <row r="30" spans="1:13" ht="12.75" customHeight="1">
      <c r="A30" s="3" t="s">
        <v>76</v>
      </c>
      <c r="D30" s="65" t="s">
        <v>32</v>
      </c>
      <c r="E30" s="43">
        <f>[1]!StP1435EndBal</f>
        <v>0</v>
      </c>
      <c r="F30" s="17"/>
      <c r="G30" s="33"/>
      <c r="H30" s="17"/>
      <c r="I30" s="182">
        <f>[2]!SP1435AcademicContests</f>
        <v>0</v>
      </c>
      <c r="J30" s="17"/>
      <c r="K30" s="17"/>
      <c r="L30" s="23">
        <f t="shared" si="2"/>
        <v>0</v>
      </c>
      <c r="M30" s="24" t="s">
        <v>32</v>
      </c>
    </row>
    <row r="31" spans="1:13" ht="12.75" customHeight="1">
      <c r="A31" s="3" t="s">
        <v>252</v>
      </c>
      <c r="D31" s="65" t="s">
        <v>77</v>
      </c>
      <c r="E31" s="182">
        <f>[1]!StP1450EndBal</f>
        <v>0</v>
      </c>
      <c r="F31" s="17"/>
      <c r="G31" s="33"/>
      <c r="H31" s="17"/>
      <c r="I31" s="182">
        <f>[2]!SP1450GiftedEd</f>
        <v>0</v>
      </c>
      <c r="J31" s="17"/>
      <c r="K31" s="17"/>
      <c r="L31" s="23">
        <f t="shared" si="2"/>
        <v>0</v>
      </c>
      <c r="M31" s="24" t="s">
        <v>77</v>
      </c>
    </row>
    <row r="32" spans="1:13" ht="12.75" customHeight="1">
      <c r="A32" s="3" t="s">
        <v>473</v>
      </c>
      <c r="D32" s="65" t="s">
        <v>78</v>
      </c>
      <c r="E32" s="33"/>
      <c r="F32" s="17"/>
      <c r="G32" s="33"/>
      <c r="H32" s="17"/>
      <c r="I32" s="182">
        <f>+'[2]Page 2'!$E$31</f>
        <v>0</v>
      </c>
      <c r="J32" s="17"/>
      <c r="K32" s="17"/>
      <c r="L32" s="23">
        <f t="shared" si="2"/>
        <v>0</v>
      </c>
      <c r="M32" s="24" t="s">
        <v>78</v>
      </c>
    </row>
    <row r="33" spans="1:13" ht="12.75" customHeight="1">
      <c r="A33" s="3" t="s">
        <v>495</v>
      </c>
      <c r="D33" s="65" t="s">
        <v>79</v>
      </c>
      <c r="E33" s="33"/>
      <c r="F33" s="17"/>
      <c r="G33" s="33"/>
      <c r="H33" s="17"/>
      <c r="I33" s="182">
        <f>+'[2]Page 2'!$E$32</f>
        <v>0</v>
      </c>
      <c r="J33" s="17"/>
      <c r="K33" s="17"/>
      <c r="L33" s="23">
        <f t="shared" si="2"/>
        <v>0</v>
      </c>
      <c r="M33" s="24" t="s">
        <v>79</v>
      </c>
    </row>
    <row r="34" spans="1:13" ht="12.75">
      <c r="A34" s="3" t="s">
        <v>80</v>
      </c>
      <c r="D34" s="65" t="s">
        <v>81</v>
      </c>
      <c r="E34" s="182">
        <f>[1]!StP1460EndBal</f>
        <v>0</v>
      </c>
      <c r="F34" s="17"/>
      <c r="G34" s="369"/>
      <c r="H34" s="17"/>
      <c r="I34" s="182">
        <f>[2]!SP1460EnvironmentalSpecialPlate</f>
        <v>0</v>
      </c>
      <c r="J34" s="17"/>
      <c r="K34" s="17"/>
      <c r="L34" s="23">
        <f t="shared" si="2"/>
        <v>0</v>
      </c>
      <c r="M34" s="24" t="s">
        <v>81</v>
      </c>
    </row>
    <row r="35" spans="1:13" ht="12.75" customHeight="1">
      <c r="A35" s="3" t="s">
        <v>112</v>
      </c>
      <c r="D35" s="256" t="s">
        <v>82</v>
      </c>
      <c r="E35" s="182">
        <f>[1]!StP1465EndBal</f>
        <v>0</v>
      </c>
      <c r="F35" s="18"/>
      <c r="G35" s="34"/>
      <c r="H35" s="18"/>
      <c r="I35" s="182">
        <f>[2]!SP1465CharterSchool</f>
        <v>0</v>
      </c>
      <c r="J35" s="18"/>
      <c r="K35" s="18"/>
      <c r="L35" s="23">
        <f t="shared" si="2"/>
        <v>0</v>
      </c>
      <c r="M35" s="24" t="s">
        <v>82</v>
      </c>
    </row>
    <row r="36" spans="1:14" ht="12.75" customHeight="1" thickBot="1">
      <c r="A36" s="47" t="s">
        <v>111</v>
      </c>
      <c r="B36" s="47"/>
      <c r="C36" s="47"/>
      <c r="D36" s="256" t="s">
        <v>83</v>
      </c>
      <c r="E36" s="254">
        <f>[1]!StP14701499EndBal</f>
        <v>0</v>
      </c>
      <c r="F36" s="68"/>
      <c r="G36" s="278"/>
      <c r="H36" s="68"/>
      <c r="I36" s="254">
        <f>[2]!SP14701499Other</f>
        <v>0</v>
      </c>
      <c r="J36" s="68"/>
      <c r="K36" s="68"/>
      <c r="L36" s="274">
        <f t="shared" si="2"/>
        <v>0</v>
      </c>
      <c r="M36" s="253" t="s">
        <v>83</v>
      </c>
      <c r="N36" s="47"/>
    </row>
    <row r="37" spans="1:14" ht="13.5" thickBot="1">
      <c r="A37" s="47" t="s">
        <v>474</v>
      </c>
      <c r="B37" s="47"/>
      <c r="C37" s="47"/>
      <c r="D37" s="256" t="s">
        <v>84</v>
      </c>
      <c r="E37" s="179">
        <f>SUM(E25:E36)</f>
        <v>0</v>
      </c>
      <c r="F37" s="179">
        <f>SUM(F25:F36)</f>
        <v>0</v>
      </c>
      <c r="G37" s="277"/>
      <c r="H37" s="179">
        <f>SUM(H25:H36)</f>
        <v>0</v>
      </c>
      <c r="I37" s="255">
        <f>SUM(I25:I36)</f>
        <v>0</v>
      </c>
      <c r="J37" s="179">
        <f>SUM(J25:J36)</f>
        <v>0</v>
      </c>
      <c r="K37" s="179">
        <f>SUM(K25:K36)</f>
        <v>0</v>
      </c>
      <c r="L37" s="179">
        <f t="shared" si="2"/>
        <v>0</v>
      </c>
      <c r="M37" s="253" t="s">
        <v>84</v>
      </c>
      <c r="N37" s="47"/>
    </row>
    <row r="38" spans="1:14" ht="13.5" thickTop="1">
      <c r="A38" s="47"/>
      <c r="B38" s="47"/>
      <c r="C38" s="47"/>
      <c r="D38" s="256"/>
      <c r="E38" s="180"/>
      <c r="F38" s="180"/>
      <c r="G38" s="180"/>
      <c r="H38" s="180"/>
      <c r="I38" s="242"/>
      <c r="J38" s="180"/>
      <c r="K38" s="180"/>
      <c r="L38" s="180"/>
      <c r="M38" s="253"/>
      <c r="N38" s="47"/>
    </row>
    <row r="39" spans="1:14" ht="13.5" thickBot="1">
      <c r="A39" s="452" t="s">
        <v>475</v>
      </c>
      <c r="B39" s="452"/>
      <c r="C39" s="452"/>
      <c r="D39" s="256" t="s">
        <v>87</v>
      </c>
      <c r="E39" s="181">
        <f>SUM(E23+E37)</f>
        <v>0</v>
      </c>
      <c r="F39" s="181">
        <f>SUM(F23+F37)</f>
        <v>65768</v>
      </c>
      <c r="G39" s="181">
        <f>G23</f>
        <v>0</v>
      </c>
      <c r="H39" s="181">
        <f>SUM(H23+H37)</f>
        <v>0</v>
      </c>
      <c r="I39" s="275">
        <f>SUM(I23+I37)</f>
        <v>62000</v>
      </c>
      <c r="J39" s="181">
        <f>SUM(J23+J37)</f>
        <v>65768</v>
      </c>
      <c r="K39" s="181">
        <f>SUM(K23+K37)</f>
        <v>0</v>
      </c>
      <c r="L39" s="181">
        <f>SUM(E39+F39-G39-H39-J39-K39)</f>
        <v>0</v>
      </c>
      <c r="M39" s="253" t="s">
        <v>87</v>
      </c>
      <c r="N39" s="47"/>
    </row>
    <row r="40" spans="1:14" ht="13.5" thickTop="1">
      <c r="A40" s="47"/>
      <c r="B40" s="47"/>
      <c r="C40" s="47"/>
      <c r="D40" s="48"/>
      <c r="E40" s="47"/>
      <c r="F40" s="47"/>
      <c r="G40" s="47"/>
      <c r="H40" s="47"/>
      <c r="I40" s="47"/>
      <c r="J40" s="47"/>
      <c r="K40" s="47"/>
      <c r="L40" s="47"/>
      <c r="M40" s="47"/>
      <c r="N40" s="47"/>
    </row>
  </sheetData>
  <sheetProtection formatCells="0" formatColumns="0" formatRows="0"/>
  <mergeCells count="4">
    <mergeCell ref="A3:D3"/>
    <mergeCell ref="B1:D1"/>
    <mergeCell ref="G1:H1"/>
    <mergeCell ref="I4:J4"/>
  </mergeCells>
  <hyperlinks>
    <hyperlink ref="A3:D3" location="FederalAndStateProjectsPage9" display="FEDERAL AND STATE PROJECTS"/>
    <hyperlink ref="A39:C39" location="FederalAndStateProjectsPage9Line30" display="     Total Federal and State Projects (lines 17 and 29)"/>
    <hyperlink ref="A21:C22" location="ImpactAidandOtherFederalProjects" display="13__ Impact Aid"/>
  </hyperlinks>
  <printOptions horizontalCentered="1"/>
  <pageMargins left="1" right="0.25" top="0.5" bottom="0.25" header="0.5" footer="0.15"/>
  <pageSetup fitToHeight="1" fitToWidth="1" horizontalDpi="600" verticalDpi="600" orientation="landscape" scale="81" r:id="rId2"/>
  <headerFooter>
    <oddFooter>&amp;LRev. 8/18&amp;CFY 2018&amp;RPage 9 of 10</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T50"/>
  <sheetViews>
    <sheetView showGridLines="0" workbookViewId="0" topLeftCell="A1">
      <selection activeCell="E12" sqref="E12"/>
    </sheetView>
  </sheetViews>
  <sheetFormatPr defaultColWidth="9.33203125" defaultRowHeight="12.75" customHeight="1"/>
  <cols>
    <col min="1" max="1" width="19.83203125" style="372" customWidth="1"/>
    <col min="2" max="2" width="36.83203125" style="372" customWidth="1"/>
    <col min="3" max="3" width="3.16015625" style="372" customWidth="1"/>
    <col min="4" max="7" width="16.83203125" style="372" customWidth="1"/>
    <col min="8" max="10" width="17.83203125" style="374" customWidth="1"/>
    <col min="11" max="11" width="16.83203125" style="374" customWidth="1"/>
    <col min="12" max="12" width="3.16015625" style="372" customWidth="1"/>
    <col min="13" max="13" width="14.83203125" style="372" customWidth="1"/>
    <col min="14" max="14" width="21.33203125" style="372" customWidth="1"/>
    <col min="15" max="15" width="13.83203125" style="372" customWidth="1"/>
    <col min="16" max="18" width="10.83203125" style="372" customWidth="1"/>
    <col min="19" max="19" width="9.33203125" style="372" customWidth="1"/>
    <col min="20" max="20" width="2.66015625" style="372" customWidth="1"/>
    <col min="21" max="16384" width="9.33203125" style="372" customWidth="1"/>
  </cols>
  <sheetData>
    <row r="1" spans="1:20" ht="12" customHeight="1">
      <c r="A1" s="382" t="s">
        <v>0</v>
      </c>
      <c r="B1" s="11" t="str">
        <f>'Cover Page'!D1</f>
        <v>NORTH STAR CHARTER SCHOOL, INC.</v>
      </c>
      <c r="C1" s="22"/>
      <c r="D1" s="2"/>
      <c r="E1" s="4" t="s">
        <v>1</v>
      </c>
      <c r="F1" s="566" t="str">
        <f>'Cover Page'!M1</f>
        <v>MARICOPA</v>
      </c>
      <c r="G1" s="566"/>
      <c r="H1" s="20"/>
      <c r="I1" s="4"/>
      <c r="J1" s="4" t="s">
        <v>138</v>
      </c>
      <c r="K1" s="244" t="str">
        <f>'Cover Page'!R1</f>
        <v>078945000</v>
      </c>
      <c r="L1" s="385"/>
      <c r="M1" s="386"/>
      <c r="N1" s="686"/>
      <c r="O1" s="686"/>
      <c r="P1" s="4"/>
      <c r="Q1" s="686"/>
      <c r="R1" s="687"/>
      <c r="S1" s="371"/>
      <c r="T1" s="371"/>
    </row>
    <row r="2" spans="1:20" ht="12" customHeight="1">
      <c r="A2" s="4"/>
      <c r="B2" s="4"/>
      <c r="C2" s="235"/>
      <c r="D2" s="22"/>
      <c r="E2" s="2"/>
      <c r="F2" s="3"/>
      <c r="G2" s="2"/>
      <c r="H2" s="4"/>
      <c r="I2" s="22"/>
      <c r="J2" s="22"/>
      <c r="K2" s="22"/>
      <c r="L2" s="20"/>
      <c r="M2" s="4"/>
      <c r="N2" s="370"/>
      <c r="O2" s="370"/>
      <c r="P2" s="4"/>
      <c r="Q2" s="370"/>
      <c r="R2" s="22"/>
      <c r="S2" s="371"/>
      <c r="T2" s="371"/>
    </row>
    <row r="3" spans="1:18" ht="12" customHeight="1">
      <c r="A3" s="373"/>
      <c r="B3" s="373"/>
      <c r="C3" s="373"/>
      <c r="D3" s="373"/>
      <c r="E3" s="373"/>
      <c r="F3" s="373"/>
      <c r="G3" s="373"/>
      <c r="H3" s="373"/>
      <c r="I3" s="373"/>
      <c r="J3" s="373"/>
      <c r="K3" s="373"/>
      <c r="L3" s="373"/>
      <c r="M3" s="373"/>
      <c r="N3" s="373"/>
      <c r="O3" s="373"/>
      <c r="P3" s="373"/>
      <c r="Q3" s="373"/>
      <c r="R3" s="373"/>
    </row>
    <row r="4" spans="1:18" ht="12" customHeight="1">
      <c r="A4" s="373"/>
      <c r="B4" s="373"/>
      <c r="C4" s="685" t="s">
        <v>315</v>
      </c>
      <c r="D4" s="685"/>
      <c r="E4" s="685"/>
      <c r="F4" s="685"/>
      <c r="G4" s="685"/>
      <c r="H4" s="685"/>
      <c r="I4" s="685"/>
      <c r="J4" s="685"/>
      <c r="K4" s="685"/>
      <c r="L4" s="685"/>
      <c r="M4" s="373"/>
      <c r="N4" s="373"/>
      <c r="O4" s="373"/>
      <c r="P4" s="373"/>
      <c r="Q4" s="373"/>
      <c r="R4" s="373"/>
    </row>
    <row r="5" spans="13:14" ht="12" customHeight="1">
      <c r="M5" s="424"/>
      <c r="N5" s="424"/>
    </row>
    <row r="6" spans="1:16" ht="12" customHeight="1">
      <c r="A6" s="387"/>
      <c r="B6" s="387"/>
      <c r="D6" s="682" t="s">
        <v>312</v>
      </c>
      <c r="E6" s="683"/>
      <c r="F6" s="683"/>
      <c r="G6" s="683"/>
      <c r="H6" s="683"/>
      <c r="I6" s="683"/>
      <c r="J6" s="683"/>
      <c r="K6" s="684"/>
      <c r="L6" s="388"/>
      <c r="M6" s="425"/>
      <c r="N6" s="425"/>
      <c r="O6" s="389"/>
      <c r="P6" s="689"/>
    </row>
    <row r="7" spans="4:17" ht="12" customHeight="1">
      <c r="D7" s="390"/>
      <c r="E7" s="391"/>
      <c r="F7" s="391" t="s">
        <v>313</v>
      </c>
      <c r="G7" s="391"/>
      <c r="H7" s="391"/>
      <c r="I7" s="392"/>
      <c r="J7" s="397" t="s">
        <v>200</v>
      </c>
      <c r="K7" s="487"/>
      <c r="L7" s="393"/>
      <c r="M7" s="426"/>
      <c r="N7" s="427"/>
      <c r="O7" s="394"/>
      <c r="P7" s="689"/>
      <c r="Q7" s="375"/>
    </row>
    <row r="8" spans="4:17" ht="12" customHeight="1">
      <c r="D8" s="395"/>
      <c r="E8" s="396" t="s">
        <v>218</v>
      </c>
      <c r="F8" s="396" t="s">
        <v>189</v>
      </c>
      <c r="G8" s="396"/>
      <c r="H8" s="397" t="s">
        <v>318</v>
      </c>
      <c r="I8" s="397"/>
      <c r="J8" s="397" t="s">
        <v>398</v>
      </c>
      <c r="K8" s="488"/>
      <c r="L8" s="393"/>
      <c r="M8" s="426"/>
      <c r="N8" s="427"/>
      <c r="O8" s="394"/>
      <c r="P8" s="689"/>
      <c r="Q8" s="375"/>
    </row>
    <row r="9" spans="4:17" ht="12" customHeight="1">
      <c r="D9" s="396" t="s">
        <v>144</v>
      </c>
      <c r="E9" s="398" t="s">
        <v>145</v>
      </c>
      <c r="F9" s="398" t="s">
        <v>331</v>
      </c>
      <c r="G9" s="398" t="s">
        <v>159</v>
      </c>
      <c r="H9" s="397" t="s">
        <v>317</v>
      </c>
      <c r="I9" s="399" t="s">
        <v>330</v>
      </c>
      <c r="J9" s="399" t="s">
        <v>396</v>
      </c>
      <c r="K9" s="489" t="s">
        <v>335</v>
      </c>
      <c r="L9" s="393"/>
      <c r="M9" s="426"/>
      <c r="N9" s="427"/>
      <c r="O9" s="394"/>
      <c r="P9" s="689"/>
      <c r="Q9" s="376"/>
    </row>
    <row r="10" spans="1:17" ht="12" customHeight="1">
      <c r="A10" s="400" t="s">
        <v>316</v>
      </c>
      <c r="B10" s="400"/>
      <c r="D10" s="398">
        <v>6100</v>
      </c>
      <c r="E10" s="401">
        <v>6200</v>
      </c>
      <c r="F10" s="401">
        <v>6500</v>
      </c>
      <c r="G10" s="401">
        <v>6600</v>
      </c>
      <c r="H10" s="401">
        <v>6810</v>
      </c>
      <c r="I10" s="402">
        <v>6890</v>
      </c>
      <c r="J10" s="399" t="s">
        <v>397</v>
      </c>
      <c r="K10" s="490" t="s">
        <v>336</v>
      </c>
      <c r="L10" s="393"/>
      <c r="M10" s="428"/>
      <c r="N10" s="427"/>
      <c r="O10" s="394"/>
      <c r="P10" s="689"/>
      <c r="Q10" s="377"/>
    </row>
    <row r="11" spans="1:17" ht="12" customHeight="1">
      <c r="A11" s="403" t="s">
        <v>201</v>
      </c>
      <c r="B11" s="403"/>
      <c r="C11" s="404" t="s">
        <v>6</v>
      </c>
      <c r="D11" s="439">
        <v>274539</v>
      </c>
      <c r="E11" s="439">
        <v>28077</v>
      </c>
      <c r="F11" s="439">
        <v>2035257</v>
      </c>
      <c r="G11" s="439">
        <v>67480</v>
      </c>
      <c r="H11" s="440">
        <v>2553</v>
      </c>
      <c r="I11" s="440"/>
      <c r="J11" s="440"/>
      <c r="K11" s="440"/>
      <c r="L11" s="405" t="s">
        <v>6</v>
      </c>
      <c r="M11" s="423"/>
      <c r="N11" s="423"/>
      <c r="O11" s="405"/>
      <c r="P11" s="378"/>
      <c r="Q11" s="379"/>
    </row>
    <row r="12" spans="1:17" ht="12" customHeight="1">
      <c r="A12" s="372" t="s">
        <v>161</v>
      </c>
      <c r="C12" s="404"/>
      <c r="D12" s="441"/>
      <c r="E12" s="441"/>
      <c r="F12" s="441"/>
      <c r="G12" s="441"/>
      <c r="H12" s="290"/>
      <c r="I12" s="290"/>
      <c r="J12" s="290"/>
      <c r="K12" s="290"/>
      <c r="L12" s="379"/>
      <c r="M12" s="406"/>
      <c r="N12" s="406"/>
      <c r="O12" s="379"/>
      <c r="P12" s="688"/>
      <c r="Q12" s="379"/>
    </row>
    <row r="13" spans="1:17" ht="12" customHeight="1">
      <c r="A13" s="403" t="s">
        <v>321</v>
      </c>
      <c r="B13" s="403"/>
      <c r="C13" s="404" t="s">
        <v>7</v>
      </c>
      <c r="D13" s="442"/>
      <c r="E13" s="442"/>
      <c r="F13" s="442"/>
      <c r="G13" s="442"/>
      <c r="H13" s="356"/>
      <c r="I13" s="356"/>
      <c r="J13" s="356"/>
      <c r="K13" s="356"/>
      <c r="L13" s="379" t="s">
        <v>7</v>
      </c>
      <c r="M13" s="406"/>
      <c r="N13" s="406"/>
      <c r="O13" s="379"/>
      <c r="P13" s="688"/>
      <c r="Q13" s="379"/>
    </row>
    <row r="14" spans="1:17" ht="12" customHeight="1">
      <c r="A14" s="403" t="s">
        <v>322</v>
      </c>
      <c r="B14" s="403"/>
      <c r="C14" s="404" t="s">
        <v>8</v>
      </c>
      <c r="D14" s="439"/>
      <c r="E14" s="439"/>
      <c r="F14" s="439"/>
      <c r="G14" s="439"/>
      <c r="H14" s="440"/>
      <c r="I14" s="440"/>
      <c r="J14" s="440"/>
      <c r="K14" s="440"/>
      <c r="L14" s="379" t="s">
        <v>8</v>
      </c>
      <c r="M14" s="423"/>
      <c r="N14" s="423"/>
      <c r="O14" s="379"/>
      <c r="P14" s="378"/>
      <c r="Q14" s="379"/>
    </row>
    <row r="15" spans="1:17" ht="12" customHeight="1">
      <c r="A15" s="403" t="s">
        <v>323</v>
      </c>
      <c r="B15" s="403"/>
      <c r="C15" s="404" t="s">
        <v>9</v>
      </c>
      <c r="D15" s="439">
        <v>11016</v>
      </c>
      <c r="E15" s="439">
        <v>2990</v>
      </c>
      <c r="F15" s="439">
        <v>219537</v>
      </c>
      <c r="G15" s="439">
        <v>16622</v>
      </c>
      <c r="H15" s="440">
        <v>13677</v>
      </c>
      <c r="I15" s="440"/>
      <c r="J15" s="440"/>
      <c r="K15" s="440"/>
      <c r="L15" s="379" t="s">
        <v>9</v>
      </c>
      <c r="M15" s="423"/>
      <c r="N15" s="423"/>
      <c r="O15" s="379"/>
      <c r="P15" s="378"/>
      <c r="Q15" s="379"/>
    </row>
    <row r="16" spans="1:17" ht="12" customHeight="1">
      <c r="A16" s="407" t="s">
        <v>324</v>
      </c>
      <c r="B16" s="407"/>
      <c r="C16" s="408" t="s">
        <v>10</v>
      </c>
      <c r="D16" s="439">
        <v>195400</v>
      </c>
      <c r="E16" s="439">
        <v>50362</v>
      </c>
      <c r="F16" s="439"/>
      <c r="G16" s="439">
        <v>7907</v>
      </c>
      <c r="H16" s="440">
        <v>4256</v>
      </c>
      <c r="I16" s="440"/>
      <c r="J16" s="440"/>
      <c r="K16" s="440"/>
      <c r="L16" s="380" t="s">
        <v>10</v>
      </c>
      <c r="M16" s="423"/>
      <c r="N16" s="423"/>
      <c r="O16" s="380"/>
      <c r="P16" s="378"/>
      <c r="Q16" s="380"/>
    </row>
    <row r="17" spans="1:17" ht="12" customHeight="1">
      <c r="A17" s="409" t="s">
        <v>325</v>
      </c>
      <c r="B17" s="409"/>
      <c r="C17" s="408" t="s">
        <v>11</v>
      </c>
      <c r="D17" s="439"/>
      <c r="E17" s="439"/>
      <c r="F17" s="439"/>
      <c r="G17" s="439"/>
      <c r="H17" s="440"/>
      <c r="I17" s="440"/>
      <c r="J17" s="440"/>
      <c r="K17" s="440"/>
      <c r="L17" s="380" t="s">
        <v>11</v>
      </c>
      <c r="M17" s="423"/>
      <c r="N17" s="423"/>
      <c r="O17" s="380"/>
      <c r="P17" s="378"/>
      <c r="Q17" s="380"/>
    </row>
    <row r="18" spans="1:17" ht="12" customHeight="1">
      <c r="A18" s="403" t="s">
        <v>326</v>
      </c>
      <c r="B18" s="403"/>
      <c r="C18" s="408" t="s">
        <v>12</v>
      </c>
      <c r="D18" s="439"/>
      <c r="E18" s="439"/>
      <c r="F18" s="439">
        <v>22996</v>
      </c>
      <c r="G18" s="439"/>
      <c r="H18" s="440"/>
      <c r="I18" s="440"/>
      <c r="J18" s="440"/>
      <c r="K18" s="440"/>
      <c r="L18" s="380" t="s">
        <v>12</v>
      </c>
      <c r="M18" s="423"/>
      <c r="N18" s="423"/>
      <c r="O18" s="380"/>
      <c r="P18" s="378"/>
      <c r="Q18" s="380"/>
    </row>
    <row r="19" spans="1:17" ht="12" customHeight="1">
      <c r="A19" s="410" t="s">
        <v>327</v>
      </c>
      <c r="B19" s="410"/>
      <c r="C19" s="408" t="s">
        <v>14</v>
      </c>
      <c r="D19" s="439"/>
      <c r="E19" s="439"/>
      <c r="F19" s="439"/>
      <c r="G19" s="439"/>
      <c r="H19" s="440"/>
      <c r="I19" s="440"/>
      <c r="J19" s="440"/>
      <c r="K19" s="440"/>
      <c r="L19" s="380" t="s">
        <v>14</v>
      </c>
      <c r="M19" s="423"/>
      <c r="N19" s="423"/>
      <c r="O19" s="380"/>
      <c r="P19" s="378"/>
      <c r="Q19" s="380"/>
    </row>
    <row r="20" spans="1:17" ht="12" customHeight="1">
      <c r="A20" s="403" t="s">
        <v>319</v>
      </c>
      <c r="B20" s="403"/>
      <c r="C20" s="408"/>
      <c r="D20" s="441"/>
      <c r="E20" s="441"/>
      <c r="F20" s="441"/>
      <c r="G20" s="441"/>
      <c r="H20" s="290"/>
      <c r="I20" s="290"/>
      <c r="J20" s="290"/>
      <c r="K20" s="290"/>
      <c r="L20" s="380"/>
      <c r="M20" s="406"/>
      <c r="N20" s="406"/>
      <c r="O20" s="380"/>
      <c r="P20" s="688"/>
      <c r="Q20" s="380"/>
    </row>
    <row r="21" spans="1:17" ht="12" customHeight="1">
      <c r="A21" s="410" t="s">
        <v>328</v>
      </c>
      <c r="B21" s="410"/>
      <c r="C21" s="408" t="s">
        <v>15</v>
      </c>
      <c r="D21" s="442"/>
      <c r="E21" s="442"/>
      <c r="F21" s="442"/>
      <c r="G21" s="442"/>
      <c r="H21" s="356"/>
      <c r="I21" s="356"/>
      <c r="J21" s="356"/>
      <c r="K21" s="356"/>
      <c r="L21" s="380" t="s">
        <v>15</v>
      </c>
      <c r="M21" s="406"/>
      <c r="N21" s="406"/>
      <c r="O21" s="380"/>
      <c r="P21" s="688"/>
      <c r="Q21" s="380"/>
    </row>
    <row r="22" spans="1:17" ht="12" customHeight="1">
      <c r="A22" s="410" t="s">
        <v>329</v>
      </c>
      <c r="B22" s="410"/>
      <c r="C22" s="408" t="s">
        <v>16</v>
      </c>
      <c r="D22" s="318"/>
      <c r="E22" s="318"/>
      <c r="F22" s="318"/>
      <c r="G22" s="318"/>
      <c r="H22" s="443"/>
      <c r="I22" s="443"/>
      <c r="J22" s="443"/>
      <c r="K22" s="443"/>
      <c r="L22" s="380" t="s">
        <v>16</v>
      </c>
      <c r="M22" s="406"/>
      <c r="N22" s="406"/>
      <c r="O22" s="380"/>
      <c r="P22" s="378"/>
      <c r="Q22" s="380"/>
    </row>
    <row r="23" spans="1:17" ht="12" customHeight="1">
      <c r="A23" s="410" t="s">
        <v>320</v>
      </c>
      <c r="B23" s="410"/>
      <c r="C23" s="408" t="s">
        <v>17</v>
      </c>
      <c r="D23" s="318"/>
      <c r="E23" s="318"/>
      <c r="F23" s="318"/>
      <c r="G23" s="318"/>
      <c r="H23" s="443"/>
      <c r="I23" s="443"/>
      <c r="J23" s="443"/>
      <c r="K23" s="443"/>
      <c r="L23" s="380" t="s">
        <v>17</v>
      </c>
      <c r="M23" s="406"/>
      <c r="N23" s="406"/>
      <c r="O23" s="380"/>
      <c r="P23" s="378"/>
      <c r="Q23" s="380"/>
    </row>
    <row r="24" spans="1:17" ht="12" customHeight="1">
      <c r="A24" s="403" t="s">
        <v>334</v>
      </c>
      <c r="B24" s="403"/>
      <c r="C24" s="408" t="s">
        <v>18</v>
      </c>
      <c r="D24" s="319">
        <f aca="true" t="shared" si="0" ref="D24:K24">SUM(D11:D23)</f>
        <v>480955</v>
      </c>
      <c r="E24" s="319">
        <f t="shared" si="0"/>
        <v>81429</v>
      </c>
      <c r="F24" s="319">
        <f t="shared" si="0"/>
        <v>2277790</v>
      </c>
      <c r="G24" s="319">
        <f t="shared" si="0"/>
        <v>92009</v>
      </c>
      <c r="H24" s="319">
        <f t="shared" si="0"/>
        <v>20486</v>
      </c>
      <c r="I24" s="319">
        <f t="shared" si="0"/>
        <v>0</v>
      </c>
      <c r="J24" s="319">
        <f>SUM(J11:J23)</f>
        <v>0</v>
      </c>
      <c r="K24" s="319">
        <f t="shared" si="0"/>
        <v>0</v>
      </c>
      <c r="L24" s="380" t="s">
        <v>18</v>
      </c>
      <c r="M24" s="406"/>
      <c r="N24" s="406"/>
      <c r="O24" s="380"/>
      <c r="P24" s="381"/>
      <c r="Q24" s="380"/>
    </row>
    <row r="25" spans="1:17" ht="12" customHeight="1">
      <c r="A25" s="403"/>
      <c r="B25" s="403"/>
      <c r="C25" s="408"/>
      <c r="D25" s="411"/>
      <c r="E25" s="411"/>
      <c r="F25" s="411"/>
      <c r="G25" s="411"/>
      <c r="H25" s="411"/>
      <c r="I25" s="411"/>
      <c r="J25" s="411"/>
      <c r="K25" s="411"/>
      <c r="L25" s="411"/>
      <c r="M25" s="429"/>
      <c r="N25" s="429"/>
      <c r="O25" s="380"/>
      <c r="P25" s="381"/>
      <c r="Q25" s="380"/>
    </row>
    <row r="26" spans="1:17" ht="12" customHeight="1">
      <c r="A26" s="403"/>
      <c r="B26" s="403"/>
      <c r="C26" s="408"/>
      <c r="D26" s="411"/>
      <c r="E26" s="411"/>
      <c r="F26" s="411"/>
      <c r="G26" s="429"/>
      <c r="H26" s="429"/>
      <c r="I26" s="429"/>
      <c r="J26" s="429"/>
      <c r="K26" s="429"/>
      <c r="L26" s="429"/>
      <c r="M26" s="429"/>
      <c r="N26" s="429"/>
      <c r="O26" s="430"/>
      <c r="P26" s="431"/>
      <c r="Q26" s="430"/>
    </row>
    <row r="27" spans="4:17" s="188" customFormat="1" ht="12" customHeight="1">
      <c r="D27" s="412" t="s">
        <v>337</v>
      </c>
      <c r="E27" s="447"/>
      <c r="G27" s="286"/>
      <c r="H27" s="461" t="s">
        <v>476</v>
      </c>
      <c r="I27" s="452"/>
      <c r="J27" s="461"/>
      <c r="K27" s="432"/>
      <c r="L27" s="286"/>
      <c r="M27" s="286"/>
      <c r="N27" s="286"/>
      <c r="O27" s="286"/>
      <c r="P27" s="286"/>
      <c r="Q27" s="286"/>
    </row>
    <row r="28" spans="3:17" s="188" customFormat="1" ht="12" customHeight="1">
      <c r="C28" s="413"/>
      <c r="D28" s="414" t="s">
        <v>338</v>
      </c>
      <c r="E28" s="448"/>
      <c r="G28" s="286"/>
      <c r="H28" s="681" t="s">
        <v>461</v>
      </c>
      <c r="I28" s="681"/>
      <c r="J28" s="680"/>
      <c r="K28" s="318">
        <v>0</v>
      </c>
      <c r="L28" s="413" t="s">
        <v>6</v>
      </c>
      <c r="M28" s="286"/>
      <c r="N28" s="286"/>
      <c r="O28" s="286"/>
      <c r="P28" s="286"/>
      <c r="Q28" s="286"/>
    </row>
    <row r="29" spans="3:17" s="188" customFormat="1" ht="12" customHeight="1">
      <c r="C29" s="413"/>
      <c r="D29" s="414" t="s">
        <v>341</v>
      </c>
      <c r="E29" s="459" t="s">
        <v>339</v>
      </c>
      <c r="G29" s="286"/>
      <c r="H29" s="681" t="s">
        <v>462</v>
      </c>
      <c r="I29" s="681"/>
      <c r="J29" s="680"/>
      <c r="K29" s="318">
        <v>0</v>
      </c>
      <c r="L29" s="413" t="s">
        <v>7</v>
      </c>
      <c r="M29" s="286"/>
      <c r="N29" s="286"/>
      <c r="O29" s="286"/>
      <c r="P29" s="286"/>
      <c r="Q29" s="286"/>
    </row>
    <row r="30" spans="3:17" s="188" customFormat="1" ht="12" customHeight="1">
      <c r="C30" s="413"/>
      <c r="D30" s="415" t="s">
        <v>340</v>
      </c>
      <c r="E30" s="460" t="s">
        <v>336</v>
      </c>
      <c r="G30" s="286"/>
      <c r="H30" s="681" t="s">
        <v>463</v>
      </c>
      <c r="I30" s="681"/>
      <c r="J30" s="680"/>
      <c r="K30" s="318">
        <v>0</v>
      </c>
      <c r="L30" s="413" t="s">
        <v>8</v>
      </c>
      <c r="N30" s="286"/>
      <c r="O30" s="286"/>
      <c r="P30" s="286"/>
      <c r="Q30" s="286"/>
    </row>
    <row r="31" spans="1:17" s="188" customFormat="1" ht="12" customHeight="1">
      <c r="A31" s="679" t="s">
        <v>408</v>
      </c>
      <c r="B31" s="679"/>
      <c r="C31" s="680"/>
      <c r="D31" s="318">
        <v>0</v>
      </c>
      <c r="E31" s="318">
        <v>0</v>
      </c>
      <c r="F31" s="417" t="s">
        <v>6</v>
      </c>
      <c r="G31" s="433"/>
      <c r="M31" s="417"/>
      <c r="N31" s="434"/>
      <c r="O31" s="286"/>
      <c r="P31" s="435"/>
      <c r="Q31" s="286"/>
    </row>
    <row r="32" spans="1:17" s="188" customFormat="1" ht="12" customHeight="1">
      <c r="A32" s="679" t="s">
        <v>409</v>
      </c>
      <c r="B32" s="679"/>
      <c r="C32" s="680"/>
      <c r="D32" s="318">
        <v>0</v>
      </c>
      <c r="E32" s="318">
        <v>0</v>
      </c>
      <c r="F32" s="417" t="s">
        <v>7</v>
      </c>
      <c r="G32" s="433"/>
      <c r="M32" s="417"/>
      <c r="N32" s="435"/>
      <c r="O32" s="286"/>
      <c r="P32" s="429"/>
      <c r="Q32" s="436"/>
    </row>
    <row r="33" spans="1:17" s="188" customFormat="1" ht="12" customHeight="1">
      <c r="A33" s="679" t="s">
        <v>410</v>
      </c>
      <c r="B33" s="679"/>
      <c r="C33" s="680"/>
      <c r="D33" s="318">
        <v>0</v>
      </c>
      <c r="E33" s="318">
        <v>0</v>
      </c>
      <c r="F33" s="417" t="s">
        <v>8</v>
      </c>
      <c r="G33" s="433"/>
      <c r="H33" s="461" t="s">
        <v>421</v>
      </c>
      <c r="I33" s="452"/>
      <c r="M33" s="286"/>
      <c r="N33" s="435"/>
      <c r="O33" s="286"/>
      <c r="P33" s="429"/>
      <c r="Q33" s="436"/>
    </row>
    <row r="34" spans="1:17" s="188" customFormat="1" ht="12" customHeight="1">
      <c r="A34" s="679" t="s">
        <v>411</v>
      </c>
      <c r="B34" s="679"/>
      <c r="C34" s="680"/>
      <c r="D34" s="318">
        <v>0</v>
      </c>
      <c r="E34" s="318">
        <v>0</v>
      </c>
      <c r="F34" s="417" t="s">
        <v>9</v>
      </c>
      <c r="G34" s="433"/>
      <c r="H34" s="681" t="s">
        <v>477</v>
      </c>
      <c r="I34" s="681"/>
      <c r="J34" s="680"/>
      <c r="K34" s="318">
        <v>4146711</v>
      </c>
      <c r="L34" s="413" t="s">
        <v>6</v>
      </c>
      <c r="M34" s="286"/>
      <c r="N34" s="429"/>
      <c r="O34" s="436"/>
      <c r="P34" s="429"/>
      <c r="Q34" s="436"/>
    </row>
    <row r="35" spans="1:17" s="188" customFormat="1" ht="12" customHeight="1">
      <c r="A35" s="416"/>
      <c r="B35" s="416"/>
      <c r="C35" s="413"/>
      <c r="D35" s="416"/>
      <c r="E35" s="416"/>
      <c r="F35" s="417"/>
      <c r="G35" s="433"/>
      <c r="H35" s="681" t="s">
        <v>478</v>
      </c>
      <c r="I35" s="681"/>
      <c r="J35" s="680"/>
      <c r="K35" s="318">
        <v>0</v>
      </c>
      <c r="L35" s="413" t="s">
        <v>7</v>
      </c>
      <c r="M35" s="286"/>
      <c r="N35" s="429"/>
      <c r="O35" s="436"/>
      <c r="P35" s="429"/>
      <c r="Q35" s="436"/>
    </row>
    <row r="36" spans="1:17" s="188" customFormat="1" ht="12" customHeight="1">
      <c r="A36" s="416"/>
      <c r="B36" s="416"/>
      <c r="C36" s="413"/>
      <c r="D36" s="416"/>
      <c r="E36" s="416"/>
      <c r="F36" s="417"/>
      <c r="G36" s="433"/>
      <c r="H36" s="681" t="s">
        <v>479</v>
      </c>
      <c r="I36" s="681"/>
      <c r="J36" s="680"/>
      <c r="K36" s="318">
        <v>22235</v>
      </c>
      <c r="L36" s="413" t="s">
        <v>8</v>
      </c>
      <c r="M36" s="286"/>
      <c r="N36" s="429"/>
      <c r="O36" s="436"/>
      <c r="P36" s="429"/>
      <c r="Q36" s="436"/>
    </row>
    <row r="37" spans="1:17" s="188" customFormat="1" ht="12" customHeight="1">
      <c r="A37" s="461" t="s">
        <v>346</v>
      </c>
      <c r="B37" s="452"/>
      <c r="C37" s="3"/>
      <c r="D37" s="418" t="s">
        <v>333</v>
      </c>
      <c r="E37" s="3"/>
      <c r="F37" s="417"/>
      <c r="G37" s="433"/>
      <c r="H37" s="681" t="s">
        <v>480</v>
      </c>
      <c r="I37" s="681"/>
      <c r="J37" s="680"/>
      <c r="K37" s="319">
        <f>K34+K35-K36</f>
        <v>4124476</v>
      </c>
      <c r="L37" s="413" t="s">
        <v>9</v>
      </c>
      <c r="M37" s="286"/>
      <c r="N37" s="429"/>
      <c r="O37" s="436"/>
      <c r="P37" s="429"/>
      <c r="Q37" s="436"/>
    </row>
    <row r="38" spans="1:17" ht="12" customHeight="1">
      <c r="A38" s="690" t="s">
        <v>412</v>
      </c>
      <c r="B38" s="690"/>
      <c r="C38" s="691"/>
      <c r="D38" s="444">
        <v>0</v>
      </c>
      <c r="E38" s="417" t="s">
        <v>6</v>
      </c>
      <c r="G38" s="424"/>
      <c r="M38" s="424"/>
      <c r="N38" s="424"/>
      <c r="O38" s="424"/>
      <c r="P38" s="424"/>
      <c r="Q38" s="424"/>
    </row>
    <row r="39" spans="1:17" ht="12" customHeight="1">
      <c r="A39" s="690" t="s">
        <v>413</v>
      </c>
      <c r="B39" s="690"/>
      <c r="C39" s="691"/>
      <c r="D39" s="337">
        <v>0</v>
      </c>
      <c r="E39" s="417" t="s">
        <v>7</v>
      </c>
      <c r="G39" s="424"/>
      <c r="H39" s="681" t="s">
        <v>481</v>
      </c>
      <c r="I39" s="681"/>
      <c r="J39" s="679"/>
      <c r="K39" s="318">
        <v>22235</v>
      </c>
      <c r="L39" s="413" t="s">
        <v>10</v>
      </c>
      <c r="M39" s="424"/>
      <c r="N39" s="424"/>
      <c r="O39" s="424"/>
      <c r="P39" s="424"/>
      <c r="Q39" s="424"/>
    </row>
    <row r="40" spans="1:17" ht="12" customHeight="1">
      <c r="A40" s="690" t="s">
        <v>414</v>
      </c>
      <c r="B40" s="690"/>
      <c r="C40" s="691"/>
      <c r="D40" s="337">
        <v>24000</v>
      </c>
      <c r="E40" s="417" t="s">
        <v>8</v>
      </c>
      <c r="G40" s="424"/>
      <c r="H40" s="681" t="s">
        <v>482</v>
      </c>
      <c r="I40" s="681"/>
      <c r="J40" s="681"/>
      <c r="K40" s="318">
        <v>22235</v>
      </c>
      <c r="L40" s="413" t="s">
        <v>11</v>
      </c>
      <c r="M40" s="424"/>
      <c r="N40" s="424"/>
      <c r="O40" s="424"/>
      <c r="P40" s="424"/>
      <c r="Q40" s="424"/>
    </row>
    <row r="41" spans="1:17" ht="12" customHeight="1">
      <c r="A41" s="690" t="s">
        <v>415</v>
      </c>
      <c r="B41" s="690"/>
      <c r="C41" s="691"/>
      <c r="D41" s="337">
        <v>0</v>
      </c>
      <c r="E41" s="417" t="s">
        <v>9</v>
      </c>
      <c r="G41" s="424"/>
      <c r="M41" s="417"/>
      <c r="N41" s="424"/>
      <c r="O41" s="424"/>
      <c r="P41" s="424"/>
      <c r="Q41" s="424"/>
    </row>
    <row r="42" spans="1:17" ht="12" customHeight="1">
      <c r="A42" s="3"/>
      <c r="B42" s="3"/>
      <c r="C42" s="413"/>
      <c r="D42" s="2"/>
      <c r="E42" s="2"/>
      <c r="G42" s="424"/>
      <c r="H42" s="437"/>
      <c r="I42" s="435"/>
      <c r="J42" s="435"/>
      <c r="K42" s="435"/>
      <c r="L42" s="435"/>
      <c r="M42" s="417"/>
      <c r="N42" s="424"/>
      <c r="O42" s="424"/>
      <c r="P42" s="424"/>
      <c r="Q42" s="424"/>
    </row>
    <row r="43" spans="1:17" s="188" customFormat="1" ht="12" customHeight="1">
      <c r="A43" s="372"/>
      <c r="B43" s="372"/>
      <c r="C43" s="372"/>
      <c r="D43" s="419"/>
      <c r="E43" s="372"/>
      <c r="F43" s="420"/>
      <c r="G43" s="433"/>
      <c r="H43" s="461" t="s">
        <v>422</v>
      </c>
      <c r="I43" s="452"/>
      <c r="J43" s="461"/>
      <c r="M43" s="286"/>
      <c r="N43" s="429"/>
      <c r="O43" s="438"/>
      <c r="P43" s="429"/>
      <c r="Q43" s="436"/>
    </row>
    <row r="44" spans="1:17" ht="12.75" customHeight="1">
      <c r="A44" s="462" t="s">
        <v>332</v>
      </c>
      <c r="B44" s="463"/>
      <c r="D44" s="415" t="s">
        <v>333</v>
      </c>
      <c r="G44" s="424"/>
      <c r="H44" s="681" t="s">
        <v>418</v>
      </c>
      <c r="I44" s="681"/>
      <c r="J44" s="680"/>
      <c r="K44" s="318">
        <v>0</v>
      </c>
      <c r="L44" s="413" t="s">
        <v>6</v>
      </c>
      <c r="M44" s="424"/>
      <c r="N44" s="424"/>
      <c r="O44" s="424"/>
      <c r="P44" s="424"/>
      <c r="Q44" s="424"/>
    </row>
    <row r="45" spans="1:17" ht="12.75" customHeight="1">
      <c r="A45" s="681" t="s">
        <v>416</v>
      </c>
      <c r="B45" s="681"/>
      <c r="C45" s="680"/>
      <c r="D45" s="444">
        <v>283315</v>
      </c>
      <c r="E45" s="417" t="s">
        <v>6</v>
      </c>
      <c r="H45" s="681" t="s">
        <v>424</v>
      </c>
      <c r="I45" s="681"/>
      <c r="J45" s="680"/>
      <c r="K45" s="318">
        <v>0</v>
      </c>
      <c r="L45" s="413" t="s">
        <v>7</v>
      </c>
      <c r="M45" s="424"/>
      <c r="N45" s="424"/>
      <c r="O45" s="424"/>
      <c r="P45" s="424"/>
      <c r="Q45" s="424"/>
    </row>
    <row r="46" spans="1:17" ht="12.75" customHeight="1">
      <c r="A46" s="681" t="s">
        <v>417</v>
      </c>
      <c r="B46" s="681"/>
      <c r="C46" s="680"/>
      <c r="D46" s="445"/>
      <c r="E46" s="417" t="s">
        <v>7</v>
      </c>
      <c r="G46" s="403"/>
      <c r="M46" s="424"/>
      <c r="N46" s="424"/>
      <c r="O46" s="424"/>
      <c r="P46" s="424"/>
      <c r="Q46" s="424"/>
    </row>
    <row r="47" spans="13:17" ht="12.75" customHeight="1">
      <c r="M47" s="424"/>
      <c r="N47" s="424"/>
      <c r="O47" s="424"/>
      <c r="P47" s="424"/>
      <c r="Q47" s="424"/>
    </row>
    <row r="48" spans="8:17" ht="12.75" customHeight="1">
      <c r="H48" s="461" t="s">
        <v>423</v>
      </c>
      <c r="I48" s="461"/>
      <c r="M48" s="424"/>
      <c r="N48" s="424"/>
      <c r="O48" s="424"/>
      <c r="P48" s="424"/>
      <c r="Q48" s="424"/>
    </row>
    <row r="49" spans="1:17" ht="12.75" customHeight="1">
      <c r="A49" s="416"/>
      <c r="B49" s="416"/>
      <c r="C49" s="413"/>
      <c r="D49" s="416"/>
      <c r="E49" s="416"/>
      <c r="G49" s="424"/>
      <c r="H49" s="403" t="s">
        <v>427</v>
      </c>
      <c r="I49" s="403"/>
      <c r="J49" s="508"/>
      <c r="K49" s="318">
        <v>0</v>
      </c>
      <c r="L49" s="413" t="s">
        <v>6</v>
      </c>
      <c r="M49" s="424"/>
      <c r="N49" s="424"/>
      <c r="O49" s="424"/>
      <c r="P49" s="424"/>
      <c r="Q49" s="424"/>
    </row>
    <row r="50" spans="1:17" ht="12.75" customHeight="1">
      <c r="A50" s="416"/>
      <c r="B50" s="416"/>
      <c r="C50" s="413"/>
      <c r="D50" s="416"/>
      <c r="E50" s="416"/>
      <c r="G50" s="424"/>
      <c r="H50" s="403" t="s">
        <v>426</v>
      </c>
      <c r="I50" s="403"/>
      <c r="J50" s="508"/>
      <c r="K50" s="318">
        <v>0</v>
      </c>
      <c r="L50" s="413" t="s">
        <v>7</v>
      </c>
      <c r="M50" s="424"/>
      <c r="N50" s="424"/>
      <c r="O50" s="424"/>
      <c r="P50" s="424"/>
      <c r="Q50" s="424"/>
    </row>
  </sheetData>
  <sheetProtection sheet="1" formatCells="0" formatColumns="0" formatRows="0"/>
  <mergeCells count="29">
    <mergeCell ref="A40:C40"/>
    <mergeCell ref="A41:C41"/>
    <mergeCell ref="A45:C45"/>
    <mergeCell ref="A46:C46"/>
    <mergeCell ref="H40:J40"/>
    <mergeCell ref="H39:J39"/>
    <mergeCell ref="H36:J36"/>
    <mergeCell ref="H37:J37"/>
    <mergeCell ref="H44:J44"/>
    <mergeCell ref="H45:J45"/>
    <mergeCell ref="A32:C32"/>
    <mergeCell ref="A33:C33"/>
    <mergeCell ref="A34:C34"/>
    <mergeCell ref="A38:C38"/>
    <mergeCell ref="A39:C39"/>
    <mergeCell ref="H34:J34"/>
    <mergeCell ref="H35:J35"/>
    <mergeCell ref="Q1:R1"/>
    <mergeCell ref="P12:P13"/>
    <mergeCell ref="P20:P21"/>
    <mergeCell ref="P6:P10"/>
    <mergeCell ref="N1:O1"/>
    <mergeCell ref="A31:C31"/>
    <mergeCell ref="H28:J28"/>
    <mergeCell ref="H29:J29"/>
    <mergeCell ref="H30:J30"/>
    <mergeCell ref="F1:G1"/>
    <mergeCell ref="D6:K6"/>
    <mergeCell ref="C4:L4"/>
  </mergeCells>
  <hyperlinks>
    <hyperlink ref="E29:E30" location="PropertyDisbursements" display="Property "/>
    <hyperlink ref="A37:B37" location="PropertyDisbursementsByType" display="Property Disbursements by Type"/>
    <hyperlink ref="A44" location="DebtService" display="Debt Service"/>
    <hyperlink ref="K9:K10" location="PropertyDisbursements" display="Property"/>
    <hyperlink ref="D6:K6" location="Programs610620630" display="Programs 100-600"/>
    <hyperlink ref="H33" location="DebtService" display="Debt Service"/>
    <hyperlink ref="H43" location="DebtService" display="Debt Service"/>
    <hyperlink ref="H33:I33" location="LongandShortTermDebt" display="Long-term and Short-term Debt"/>
    <hyperlink ref="H43:J43" location="UtilitiesandEnergyServices" display="Utilities and Energy Detail (Function 2600)"/>
    <hyperlink ref="H48" location="TechnologyDetail" display="Technology"/>
    <hyperlink ref="H27:J27" location="CashandInvestments" display="Cash and Investments held at June 30, 2017"/>
  </hyperlinks>
  <printOptions/>
  <pageMargins left="0.75" right="0.25" top="0.25" bottom="0.25" header="0.5" footer="0.15"/>
  <pageSetup fitToHeight="1" fitToWidth="1" horizontalDpi="600" verticalDpi="600" orientation="landscape" scale="71" r:id="rId2"/>
  <headerFooter>
    <oddFooter>&amp;LRev. 8/18&amp;CFY 2018&amp;RPage 10 of 10</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O52"/>
  <sheetViews>
    <sheetView showGridLines="0" workbookViewId="0" topLeftCell="A1">
      <pane ySplit="1" topLeftCell="A28" activePane="bottomLeft" state="frozen"/>
      <selection pane="topLeft" activeCell="A1" sqref="A1"/>
      <selection pane="bottomLeft" activeCell="C34" sqref="C34"/>
    </sheetView>
  </sheetViews>
  <sheetFormatPr defaultColWidth="9.33203125" defaultRowHeight="12.75"/>
  <cols>
    <col min="1" max="1" width="9.66015625" style="372" bestFit="1" customWidth="1"/>
    <col min="2" max="2" width="25.16015625" style="372" customWidth="1"/>
    <col min="3" max="3" width="101.33203125" style="372" customWidth="1"/>
    <col min="4" max="4" width="13.33203125" style="470" customWidth="1"/>
    <col min="5" max="16384" width="9.33203125" style="372" customWidth="1"/>
  </cols>
  <sheetData>
    <row r="1" spans="1:3" ht="24.75" customHeight="1">
      <c r="A1" s="468" t="s">
        <v>351</v>
      </c>
      <c r="B1" s="468" t="s">
        <v>352</v>
      </c>
      <c r="C1" s="469"/>
    </row>
    <row r="2" spans="1:7" ht="66" customHeight="1">
      <c r="A2" s="692" t="s">
        <v>353</v>
      </c>
      <c r="B2" s="693"/>
      <c r="C2" s="471" t="s">
        <v>381</v>
      </c>
      <c r="F2" s="188"/>
      <c r="G2" s="188"/>
    </row>
    <row r="3" spans="1:7" ht="63" customHeight="1">
      <c r="A3" s="694"/>
      <c r="B3" s="695"/>
      <c r="C3" s="472" t="s">
        <v>379</v>
      </c>
      <c r="F3" s="473"/>
      <c r="G3" s="474"/>
    </row>
    <row r="4" spans="1:3" ht="44.25" customHeight="1">
      <c r="A4" s="694"/>
      <c r="B4" s="695"/>
      <c r="C4" s="475" t="s">
        <v>402</v>
      </c>
    </row>
    <row r="5" spans="1:3" ht="167.25" customHeight="1">
      <c r="A5" s="694"/>
      <c r="B5" s="695"/>
      <c r="C5" s="471" t="s">
        <v>505</v>
      </c>
    </row>
    <row r="6" spans="1:3" ht="65.25" customHeight="1">
      <c r="A6" s="696"/>
      <c r="B6" s="697"/>
      <c r="C6" s="475" t="s">
        <v>510</v>
      </c>
    </row>
    <row r="7" spans="1:3" ht="65.25" customHeight="1">
      <c r="A7" s="491" t="s">
        <v>354</v>
      </c>
      <c r="B7" s="476" t="s">
        <v>355</v>
      </c>
      <c r="C7" s="475" t="s">
        <v>356</v>
      </c>
    </row>
    <row r="8" spans="1:3" ht="21" customHeight="1">
      <c r="A8" s="477">
        <v>1</v>
      </c>
      <c r="B8" s="478" t="s">
        <v>353</v>
      </c>
      <c r="C8" s="475" t="s">
        <v>357</v>
      </c>
    </row>
    <row r="9" spans="1:3" ht="54" customHeight="1">
      <c r="A9" s="482">
        <v>1</v>
      </c>
      <c r="B9" s="478" t="s">
        <v>428</v>
      </c>
      <c r="C9" s="475" t="s">
        <v>429</v>
      </c>
    </row>
    <row r="10" spans="1:3" ht="102">
      <c r="A10" s="482">
        <v>1</v>
      </c>
      <c r="B10" s="479" t="s">
        <v>399</v>
      </c>
      <c r="C10" s="480" t="s">
        <v>508</v>
      </c>
    </row>
    <row r="11" spans="1:3" ht="69.75" customHeight="1">
      <c r="A11" s="482">
        <v>1</v>
      </c>
      <c r="B11" s="479" t="s">
        <v>400</v>
      </c>
      <c r="C11" s="480" t="s">
        <v>403</v>
      </c>
    </row>
    <row r="12" spans="1:4" ht="51">
      <c r="A12" s="477">
        <v>2</v>
      </c>
      <c r="B12" s="479" t="s">
        <v>430</v>
      </c>
      <c r="C12" s="480" t="s">
        <v>483</v>
      </c>
      <c r="D12" s="481"/>
    </row>
    <row r="13" spans="1:3" ht="47.25" customHeight="1">
      <c r="A13" s="477">
        <v>2</v>
      </c>
      <c r="B13" s="479" t="s">
        <v>431</v>
      </c>
      <c r="C13" s="475" t="s">
        <v>484</v>
      </c>
    </row>
    <row r="14" spans="1:3" ht="111.75" customHeight="1">
      <c r="A14" s="482">
        <v>7</v>
      </c>
      <c r="B14" s="479" t="s">
        <v>443</v>
      </c>
      <c r="C14" s="480" t="s">
        <v>485</v>
      </c>
    </row>
    <row r="15" spans="1:3" ht="93.75" customHeight="1">
      <c r="A15" s="477">
        <v>7</v>
      </c>
      <c r="B15" s="479" t="s">
        <v>444</v>
      </c>
      <c r="C15" s="480" t="s">
        <v>486</v>
      </c>
    </row>
    <row r="16" spans="1:3" ht="45.75" customHeight="1">
      <c r="A16" s="477">
        <v>7</v>
      </c>
      <c r="B16" s="479" t="s">
        <v>445</v>
      </c>
      <c r="C16" s="480" t="s">
        <v>487</v>
      </c>
    </row>
    <row r="17" spans="1:3" ht="101.25" customHeight="1">
      <c r="A17" s="477">
        <v>7</v>
      </c>
      <c r="B17" s="479" t="s">
        <v>446</v>
      </c>
      <c r="C17" s="480" t="s">
        <v>488</v>
      </c>
    </row>
    <row r="18" spans="1:3" ht="51">
      <c r="A18" s="477">
        <v>7</v>
      </c>
      <c r="B18" s="479" t="s">
        <v>447</v>
      </c>
      <c r="C18" s="480" t="s">
        <v>489</v>
      </c>
    </row>
    <row r="19" spans="1:3" ht="145.5" customHeight="1">
      <c r="A19" s="477">
        <v>7</v>
      </c>
      <c r="B19" s="479" t="s">
        <v>448</v>
      </c>
      <c r="C19" s="480" t="s">
        <v>460</v>
      </c>
    </row>
    <row r="20" spans="1:3" ht="51">
      <c r="A20" s="477">
        <v>7</v>
      </c>
      <c r="B20" s="479" t="s">
        <v>449</v>
      </c>
      <c r="C20" s="480" t="s">
        <v>358</v>
      </c>
    </row>
    <row r="21" spans="1:3" ht="51">
      <c r="A21" s="477">
        <v>7</v>
      </c>
      <c r="B21" s="479" t="s">
        <v>450</v>
      </c>
      <c r="C21" s="480" t="s">
        <v>359</v>
      </c>
    </row>
    <row r="22" spans="1:3" ht="51">
      <c r="A22" s="477">
        <v>7</v>
      </c>
      <c r="B22" s="479" t="s">
        <v>451</v>
      </c>
      <c r="C22" s="480" t="s">
        <v>360</v>
      </c>
    </row>
    <row r="23" spans="1:3" ht="51">
      <c r="A23" s="477">
        <v>7</v>
      </c>
      <c r="B23" s="483" t="s">
        <v>452</v>
      </c>
      <c r="C23" s="480" t="s">
        <v>377</v>
      </c>
    </row>
    <row r="24" spans="1:3" ht="51">
      <c r="A24" s="477">
        <v>7</v>
      </c>
      <c r="B24" s="483" t="s">
        <v>453</v>
      </c>
      <c r="C24" s="480" t="s">
        <v>361</v>
      </c>
    </row>
    <row r="25" spans="1:3" ht="65.25" customHeight="1">
      <c r="A25" s="477">
        <v>7</v>
      </c>
      <c r="B25" s="483" t="s">
        <v>516</v>
      </c>
      <c r="C25" s="480" t="s">
        <v>517</v>
      </c>
    </row>
    <row r="26" spans="1:3" ht="51">
      <c r="A26" s="477">
        <v>7</v>
      </c>
      <c r="B26" s="483" t="s">
        <v>467</v>
      </c>
      <c r="C26" s="480" t="s">
        <v>511</v>
      </c>
    </row>
    <row r="27" spans="1:3" ht="76.5">
      <c r="A27" s="477">
        <v>7</v>
      </c>
      <c r="B27" s="479" t="s">
        <v>454</v>
      </c>
      <c r="C27" s="471" t="s">
        <v>490</v>
      </c>
    </row>
    <row r="28" spans="1:3" ht="38.25">
      <c r="A28" s="477">
        <v>7</v>
      </c>
      <c r="B28" s="479" t="s">
        <v>455</v>
      </c>
      <c r="C28" s="480" t="s">
        <v>378</v>
      </c>
    </row>
    <row r="29" spans="1:3" ht="47.25" customHeight="1">
      <c r="A29" s="477">
        <v>7</v>
      </c>
      <c r="B29" s="479" t="s">
        <v>456</v>
      </c>
      <c r="C29" s="480" t="s">
        <v>469</v>
      </c>
    </row>
    <row r="30" spans="1:3" ht="38.25">
      <c r="A30" s="477">
        <v>7</v>
      </c>
      <c r="B30" s="479" t="s">
        <v>457</v>
      </c>
      <c r="C30" s="480" t="s">
        <v>362</v>
      </c>
    </row>
    <row r="31" spans="1:3" ht="38.25">
      <c r="A31" s="477">
        <v>7</v>
      </c>
      <c r="B31" s="479" t="s">
        <v>458</v>
      </c>
      <c r="C31" s="480" t="s">
        <v>363</v>
      </c>
    </row>
    <row r="32" spans="1:4" s="374" customFormat="1" ht="38.25">
      <c r="A32" s="482">
        <v>7</v>
      </c>
      <c r="B32" s="483" t="s">
        <v>459</v>
      </c>
      <c r="C32" s="480" t="s">
        <v>380</v>
      </c>
      <c r="D32" s="484"/>
    </row>
    <row r="33" spans="1:4" s="374" customFormat="1" ht="51">
      <c r="A33" s="482">
        <v>7</v>
      </c>
      <c r="B33" s="483" t="s">
        <v>499</v>
      </c>
      <c r="C33" s="480" t="s">
        <v>514</v>
      </c>
      <c r="D33" s="484"/>
    </row>
    <row r="34" spans="1:3" s="374" customFormat="1" ht="51">
      <c r="A34" s="482">
        <v>7</v>
      </c>
      <c r="B34" s="483" t="s">
        <v>500</v>
      </c>
      <c r="C34" s="480" t="s">
        <v>512</v>
      </c>
    </row>
    <row r="35" spans="1:4" s="374" customFormat="1" ht="51">
      <c r="A35" s="482">
        <v>7</v>
      </c>
      <c r="B35" s="483" t="s">
        <v>501</v>
      </c>
      <c r="C35" s="480" t="s">
        <v>513</v>
      </c>
      <c r="D35" s="484"/>
    </row>
    <row r="36" spans="1:15" s="374" customFormat="1" ht="30.75" customHeight="1">
      <c r="A36" s="482">
        <v>8</v>
      </c>
      <c r="B36" s="479" t="s">
        <v>384</v>
      </c>
      <c r="C36" s="480" t="s">
        <v>385</v>
      </c>
      <c r="D36" s="484"/>
      <c r="E36" s="465"/>
      <c r="F36" s="465"/>
      <c r="G36" s="465"/>
      <c r="H36" s="465"/>
      <c r="I36" s="465"/>
      <c r="J36" s="465"/>
      <c r="K36" s="465"/>
      <c r="L36" s="465"/>
      <c r="M36" s="465"/>
      <c r="N36" s="465"/>
      <c r="O36" s="465"/>
    </row>
    <row r="37" spans="1:3" ht="42" customHeight="1">
      <c r="A37" s="477">
        <v>8</v>
      </c>
      <c r="B37" s="479" t="s">
        <v>386</v>
      </c>
      <c r="C37" s="475" t="s">
        <v>364</v>
      </c>
    </row>
    <row r="38" spans="1:3" ht="42" customHeight="1">
      <c r="A38" s="477">
        <v>8</v>
      </c>
      <c r="B38" s="479" t="s">
        <v>433</v>
      </c>
      <c r="C38" s="475" t="s">
        <v>434</v>
      </c>
    </row>
    <row r="39" spans="1:3" ht="21.75" customHeight="1">
      <c r="A39" s="482">
        <v>8</v>
      </c>
      <c r="B39" s="479" t="s">
        <v>376</v>
      </c>
      <c r="C39" s="480" t="s">
        <v>288</v>
      </c>
    </row>
    <row r="40" spans="1:3" ht="33.75" customHeight="1">
      <c r="A40" s="477">
        <v>9</v>
      </c>
      <c r="B40" s="479" t="s">
        <v>365</v>
      </c>
      <c r="C40" s="475" t="s">
        <v>368</v>
      </c>
    </row>
    <row r="41" spans="1:3" ht="53.25" customHeight="1">
      <c r="A41" s="477">
        <v>9</v>
      </c>
      <c r="B41" s="479" t="s">
        <v>395</v>
      </c>
      <c r="C41" s="475" t="s">
        <v>432</v>
      </c>
    </row>
    <row r="42" spans="1:3" ht="30" customHeight="1">
      <c r="A42" s="477">
        <v>9</v>
      </c>
      <c r="B42" s="479" t="s">
        <v>491</v>
      </c>
      <c r="C42" s="475" t="s">
        <v>492</v>
      </c>
    </row>
    <row r="43" spans="1:3" ht="169.5" customHeight="1">
      <c r="A43" s="477">
        <v>10</v>
      </c>
      <c r="B43" s="479" t="s">
        <v>353</v>
      </c>
      <c r="C43" s="480" t="s">
        <v>509</v>
      </c>
    </row>
    <row r="44" spans="1:3" ht="30" customHeight="1">
      <c r="A44" s="477">
        <v>10</v>
      </c>
      <c r="B44" s="479" t="s">
        <v>312</v>
      </c>
      <c r="C44" s="480" t="s">
        <v>404</v>
      </c>
    </row>
    <row r="45" spans="1:3" ht="74.25" customHeight="1">
      <c r="A45" s="477">
        <v>10</v>
      </c>
      <c r="B45" s="479" t="s">
        <v>366</v>
      </c>
      <c r="C45" s="475" t="s">
        <v>369</v>
      </c>
    </row>
    <row r="46" spans="1:3" ht="69.75" customHeight="1">
      <c r="A46" s="477">
        <v>10</v>
      </c>
      <c r="B46" s="479" t="s">
        <v>346</v>
      </c>
      <c r="C46" s="471" t="s">
        <v>401</v>
      </c>
    </row>
    <row r="47" spans="1:3" ht="47.25" customHeight="1">
      <c r="A47" s="477">
        <v>10</v>
      </c>
      <c r="B47" s="479" t="s">
        <v>332</v>
      </c>
      <c r="C47" s="475" t="s">
        <v>367</v>
      </c>
    </row>
    <row r="48" spans="1:3" ht="149.25" customHeight="1">
      <c r="A48" s="477">
        <v>10</v>
      </c>
      <c r="B48" s="479" t="s">
        <v>464</v>
      </c>
      <c r="C48" s="471" t="s">
        <v>468</v>
      </c>
    </row>
    <row r="49" spans="1:3" ht="165.75">
      <c r="A49" s="477">
        <v>10</v>
      </c>
      <c r="B49" s="476" t="s">
        <v>421</v>
      </c>
      <c r="C49" s="471" t="s">
        <v>465</v>
      </c>
    </row>
    <row r="50" spans="1:3" ht="50.25" customHeight="1">
      <c r="A50" s="477">
        <v>10</v>
      </c>
      <c r="B50" s="476" t="s">
        <v>420</v>
      </c>
      <c r="C50" s="471" t="s">
        <v>425</v>
      </c>
    </row>
    <row r="51" spans="1:3" ht="89.25">
      <c r="A51" s="477">
        <v>10</v>
      </c>
      <c r="B51" s="476" t="s">
        <v>419</v>
      </c>
      <c r="C51" s="475" t="s">
        <v>506</v>
      </c>
    </row>
    <row r="52" spans="1:3" ht="12.75">
      <c r="A52" s="485"/>
      <c r="B52" s="486"/>
      <c r="C52" s="481"/>
    </row>
  </sheetData>
  <sheetProtection sheet="1" formatCells="0" formatColumns="0" formatRows="0"/>
  <mergeCells count="1">
    <mergeCell ref="A2:B6"/>
  </mergeCells>
  <hyperlinks>
    <hyperlink ref="A8" location="'Page 1'!A1" display="'Page 1'!A1"/>
    <hyperlink ref="A12" location="'Page 2'!A1" display="'Page 2'!A1"/>
    <hyperlink ref="A13" location="'Page 2'!A1" display="'Page 2'!A1"/>
    <hyperlink ref="A14" location="'Page 7'!A1" display="'Page 7'!A1"/>
    <hyperlink ref="A15" location="'Page 7'!A1" display="'Page 7'!A1"/>
    <hyperlink ref="A17" location="'Page 7'!A1" display="'Page 7'!A1"/>
    <hyperlink ref="A18" location="'Page 7'!A1" display="'Page 7'!A1"/>
    <hyperlink ref="A19" location="'Page 7'!A1" display="'Page 7'!A1"/>
    <hyperlink ref="A20" location="'Page 7'!A1" display="'Page 7'!A1"/>
    <hyperlink ref="A21" location="'Page 7'!A1" display="'Page 7'!A1"/>
    <hyperlink ref="A22" location="'Page 7'!A1" display="'Page 7'!A1"/>
    <hyperlink ref="A23" location="'Page 7'!A1" display="'Page 7'!A1"/>
    <hyperlink ref="A24" location="'Page 7'!A1" display="'Page 7'!A1"/>
    <hyperlink ref="A27" location="'Page 7'!A1" display="'Page 7'!A1"/>
    <hyperlink ref="A28" location="'Page 7'!A1" display="'Page 7'!A1"/>
    <hyperlink ref="A30" location="'Page 7'!A1" display="'Page 7'!A1"/>
    <hyperlink ref="A31" location="'Page 7'!A1" display="'Page 7'!A1"/>
    <hyperlink ref="A32" location="'Page 7'!A1" display="'Page 7'!A1"/>
    <hyperlink ref="A37" location="'Page 8'!A1" display="'Page 8'!A1"/>
    <hyperlink ref="A40" location="'Page 9'!A1" display="'Page 9'!A1"/>
    <hyperlink ref="A42" location="'Page 9'!A1" display="'Page 9'!A1"/>
    <hyperlink ref="A43" location="'Page 10'!A1" display="'Page 10'!A1"/>
    <hyperlink ref="A45" location="'Page 10'!A1" display="'Page 10'!A1"/>
    <hyperlink ref="A46" location="'Page 10'!A1" display="'Page 10'!A1"/>
    <hyperlink ref="A47" location="'Page 10'!A1" display="'Page 10'!A1"/>
    <hyperlink ref="A29" location="'Page 7'!A1" display="'Page 7'!A1"/>
    <hyperlink ref="A16" location="'Page 7'!A1" display="'Page 7'!A1"/>
    <hyperlink ref="A36" location="'Page 8'!A1" display="'Page 8'!A1"/>
    <hyperlink ref="A39" location="'Page 8'!A1" display="'Page 8'!A1"/>
    <hyperlink ref="A2:B2" location="'Cover Page'!A1" display="General"/>
    <hyperlink ref="A7" location="'Cover Page'!A1" display="Cover"/>
    <hyperlink ref="A44" location="'Page 10'!A1" display="'Page 10'!A1"/>
    <hyperlink ref="A41" location="'Page 9'!A1" display="'Page 9'!A1"/>
    <hyperlink ref="A10" location="'Page 1'!A1" display="'Page 1'!A1"/>
    <hyperlink ref="A11" location="'Page 1'!A1" display="'Page 1'!A1"/>
    <hyperlink ref="A49" location="'Page 10'!A1" display="'Page 10'!A1"/>
    <hyperlink ref="A50" location="'Page 10'!A1" display="'Page 10'!A1"/>
    <hyperlink ref="A9" location="'Page 1'!A1" display="'Page 1'!A1"/>
    <hyperlink ref="A38" location="'Page 8'!A1" display="'Page 8'!A1"/>
    <hyperlink ref="A48" location="'Page 10'!A1" display="'Page 10'!A1"/>
    <hyperlink ref="A26" location="'Page 7'!A1" display="'Page 7'!A1"/>
    <hyperlink ref="A33" location="'Page 7'!A1" display="'Page 7'!A1"/>
    <hyperlink ref="A25" location="'Page 7'!A1" display="'Page 7'!A1"/>
    <hyperlink ref="A51" location="'Page 10'!A1" display="'Page 10'!A1"/>
    <hyperlink ref="A34" location="'Page 7'!A1" display="'Page 7'!A1"/>
    <hyperlink ref="A35" location="'Page 7'!A1" display="'Page 7'!A1"/>
  </hyperlinks>
  <printOptions/>
  <pageMargins left="0.7" right="0.7" top="0.75" bottom="0.75" header="0.3" footer="0.3"/>
  <pageSetup fitToHeight="0" fitToWidth="1" horizontalDpi="600" verticalDpi="600" orientation="landscape" r:id="rId1"/>
  <headerFooter>
    <oddFooter>&amp;LRev. 8/18&amp;CFY 2018</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45"/>
  <sheetViews>
    <sheetView showGridLines="0" workbookViewId="0" topLeftCell="A9">
      <selection activeCell="H22" sqref="H22"/>
    </sheetView>
  </sheetViews>
  <sheetFormatPr defaultColWidth="9.33203125" defaultRowHeight="12.75"/>
  <cols>
    <col min="1" max="1" width="3.33203125" style="3" customWidth="1"/>
    <col min="2" max="2" width="17.83203125" style="3" customWidth="1"/>
    <col min="3" max="3" width="33.33203125" style="3" customWidth="1"/>
    <col min="4" max="4" width="13.83203125" style="3" customWidth="1"/>
    <col min="5" max="5" width="5.16015625" style="3" customWidth="1"/>
    <col min="6" max="6" width="14.16015625" style="3" customWidth="1"/>
    <col min="7" max="7" width="7.66015625" style="3" customWidth="1"/>
    <col min="8" max="8" width="13.83203125" style="3" customWidth="1"/>
    <col min="9" max="11" width="9.33203125" style="3" customWidth="1"/>
    <col min="12" max="12" width="10.66015625" style="3" customWidth="1"/>
    <col min="13" max="13" width="11.33203125" style="3" customWidth="1"/>
    <col min="14" max="16384" width="9.33203125" style="3" customWidth="1"/>
  </cols>
  <sheetData>
    <row r="1" spans="1:14" ht="12.75">
      <c r="A1" s="560" t="s">
        <v>0</v>
      </c>
      <c r="B1" s="560"/>
      <c r="C1" s="11" t="str">
        <f>'Cover Page'!D1</f>
        <v>NORTH STAR CHARTER SCHOOL, INC.</v>
      </c>
      <c r="F1" s="2"/>
      <c r="G1" s="4" t="s">
        <v>1</v>
      </c>
      <c r="H1" s="566" t="str">
        <f>'Cover Page'!M1</f>
        <v>MARICOPA</v>
      </c>
      <c r="I1" s="566"/>
      <c r="J1" s="2"/>
      <c r="L1" s="4" t="s">
        <v>138</v>
      </c>
      <c r="M1" s="565" t="str">
        <f>'Cover Page'!R1</f>
        <v>078945000</v>
      </c>
      <c r="N1" s="566"/>
    </row>
    <row r="2" spans="6:9" ht="12.75">
      <c r="F2" s="9"/>
      <c r="G2" s="9"/>
      <c r="H2" s="2" t="s">
        <v>3</v>
      </c>
      <c r="I2" s="2"/>
    </row>
    <row r="3" spans="1:12" ht="12.75">
      <c r="A3" s="5" t="s">
        <v>68</v>
      </c>
      <c r="B3" s="5"/>
      <c r="D3" s="2"/>
      <c r="E3" s="2"/>
      <c r="F3" s="2"/>
      <c r="G3" s="2"/>
      <c r="L3" s="2"/>
    </row>
    <row r="4" spans="1:13" ht="12.75">
      <c r="A4" s="5" t="s">
        <v>5</v>
      </c>
      <c r="C4" s="2"/>
      <c r="D4" s="2"/>
      <c r="E4" s="2"/>
      <c r="F4" s="2"/>
      <c r="G4" s="2"/>
      <c r="H4" s="37" t="s">
        <v>4</v>
      </c>
      <c r="J4" s="39"/>
      <c r="K4" s="39"/>
      <c r="L4" s="39"/>
      <c r="M4" s="2"/>
    </row>
    <row r="5" spans="1:13" ht="12.75">
      <c r="A5" s="10" t="s">
        <v>6</v>
      </c>
      <c r="B5" s="557" t="s">
        <v>349</v>
      </c>
      <c r="C5" s="557"/>
      <c r="D5" s="557"/>
      <c r="E5" s="2"/>
      <c r="F5" s="2"/>
      <c r="G5" s="2"/>
      <c r="H5" s="17"/>
      <c r="I5" s="35" t="s">
        <v>6</v>
      </c>
      <c r="J5" s="39"/>
      <c r="K5" s="39"/>
      <c r="L5" s="39"/>
      <c r="M5" s="2"/>
    </row>
    <row r="6" spans="1:13" ht="12.75">
      <c r="A6" s="16" t="s">
        <v>7</v>
      </c>
      <c r="B6" s="557" t="s">
        <v>348</v>
      </c>
      <c r="C6" s="557"/>
      <c r="D6" s="557"/>
      <c r="E6" s="2"/>
      <c r="F6" s="2"/>
      <c r="G6" s="2"/>
      <c r="H6" s="17"/>
      <c r="I6" s="234" t="s">
        <v>7</v>
      </c>
      <c r="J6" s="39"/>
      <c r="K6" s="39"/>
      <c r="L6" s="39"/>
      <c r="M6" s="2"/>
    </row>
    <row r="7" spans="1:13" ht="12.75">
      <c r="A7" s="16" t="s">
        <v>8</v>
      </c>
      <c r="B7" s="558" t="s">
        <v>220</v>
      </c>
      <c r="C7" s="558"/>
      <c r="D7" s="558"/>
      <c r="E7" s="2"/>
      <c r="F7" s="2"/>
      <c r="G7" s="2"/>
      <c r="H7" s="17"/>
      <c r="I7" s="234" t="s">
        <v>8</v>
      </c>
      <c r="J7" s="38"/>
      <c r="K7" s="39"/>
      <c r="L7" s="39"/>
      <c r="M7" s="2"/>
    </row>
    <row r="8" spans="1:13" ht="12.75">
      <c r="A8" s="16" t="s">
        <v>9</v>
      </c>
      <c r="B8" s="558" t="s">
        <v>99</v>
      </c>
      <c r="C8" s="558"/>
      <c r="D8" s="558"/>
      <c r="E8" s="2"/>
      <c r="F8" s="2"/>
      <c r="G8" s="2"/>
      <c r="H8" s="17" t="s">
        <v>3</v>
      </c>
      <c r="I8" s="234" t="s">
        <v>9</v>
      </c>
      <c r="J8" s="39"/>
      <c r="K8" s="39"/>
      <c r="L8" s="39"/>
      <c r="M8" s="2"/>
    </row>
    <row r="9" spans="1:13" ht="12.75">
      <c r="A9" s="16" t="s">
        <v>10</v>
      </c>
      <c r="B9" s="558" t="s">
        <v>100</v>
      </c>
      <c r="C9" s="558"/>
      <c r="D9" s="2"/>
      <c r="E9" s="2"/>
      <c r="F9" s="2"/>
      <c r="G9" s="2"/>
      <c r="H9" s="17">
        <v>2940</v>
      </c>
      <c r="I9" s="234" t="s">
        <v>10</v>
      </c>
      <c r="J9" s="40"/>
      <c r="K9" s="39"/>
      <c r="L9" s="39"/>
      <c r="M9" s="2"/>
    </row>
    <row r="10" spans="1:13" ht="12.75">
      <c r="A10" s="509" t="s">
        <v>11</v>
      </c>
      <c r="B10" s="558" t="s">
        <v>406</v>
      </c>
      <c r="C10" s="558"/>
      <c r="D10" s="2"/>
      <c r="E10" s="2"/>
      <c r="F10" s="2"/>
      <c r="G10" s="2"/>
      <c r="H10" s="67">
        <f>'[3]Food Service AFR'!E7</f>
        <v>0</v>
      </c>
      <c r="I10" s="35" t="s">
        <v>11</v>
      </c>
      <c r="J10" s="40"/>
      <c r="K10" s="39"/>
      <c r="L10" s="39"/>
      <c r="M10" s="2"/>
    </row>
    <row r="11" spans="1:13" ht="12.75">
      <c r="A11" s="10" t="s">
        <v>12</v>
      </c>
      <c r="B11" s="558" t="s">
        <v>253</v>
      </c>
      <c r="C11" s="558"/>
      <c r="D11" s="2"/>
      <c r="E11" s="2"/>
      <c r="F11" s="2"/>
      <c r="G11" s="2"/>
      <c r="H11" s="17"/>
      <c r="I11" s="35" t="s">
        <v>12</v>
      </c>
      <c r="J11" s="39"/>
      <c r="K11" s="39"/>
      <c r="L11" s="39"/>
      <c r="M11" s="2"/>
    </row>
    <row r="12" spans="1:13" ht="12.75">
      <c r="A12" s="503" t="s">
        <v>14</v>
      </c>
      <c r="B12" s="558" t="s">
        <v>101</v>
      </c>
      <c r="C12" s="558"/>
      <c r="D12" s="564" t="s">
        <v>523</v>
      </c>
      <c r="E12" s="564"/>
      <c r="F12" s="564"/>
      <c r="G12" s="2"/>
      <c r="H12" s="17">
        <v>8250</v>
      </c>
      <c r="I12" s="502" t="s">
        <v>14</v>
      </c>
      <c r="J12" s="39"/>
      <c r="K12" s="39"/>
      <c r="L12" s="39"/>
      <c r="M12" s="2"/>
    </row>
    <row r="13" spans="1:13" ht="12.75">
      <c r="A13" s="65" t="s">
        <v>15</v>
      </c>
      <c r="B13" s="562" t="s">
        <v>389</v>
      </c>
      <c r="C13" s="562"/>
      <c r="D13" s="2"/>
      <c r="E13" s="2"/>
      <c r="F13" s="2"/>
      <c r="G13" s="2"/>
      <c r="H13" s="43">
        <f>SUM(H5:H12)</f>
        <v>11190</v>
      </c>
      <c r="I13" s="87" t="s">
        <v>15</v>
      </c>
      <c r="J13" s="39"/>
      <c r="K13" s="39"/>
      <c r="L13" s="39"/>
      <c r="M13" s="2"/>
    </row>
    <row r="14" spans="1:13" ht="12.75">
      <c r="A14" s="5" t="s">
        <v>13</v>
      </c>
      <c r="B14" s="5"/>
      <c r="D14" s="2"/>
      <c r="E14" s="2"/>
      <c r="F14" s="2"/>
      <c r="G14" s="2"/>
      <c r="H14" s="2"/>
      <c r="I14" s="35" t="s">
        <v>3</v>
      </c>
      <c r="J14" s="39"/>
      <c r="K14" s="39"/>
      <c r="L14" s="39"/>
      <c r="M14" s="2"/>
    </row>
    <row r="15" spans="1:13" ht="12.75">
      <c r="A15" s="65" t="s">
        <v>16</v>
      </c>
      <c r="B15" s="558" t="s">
        <v>211</v>
      </c>
      <c r="C15" s="558"/>
      <c r="D15" s="2"/>
      <c r="E15" s="2"/>
      <c r="F15" s="2"/>
      <c r="G15" s="2"/>
      <c r="H15" s="17"/>
      <c r="I15" s="87" t="s">
        <v>16</v>
      </c>
      <c r="J15" s="39"/>
      <c r="K15" s="39"/>
      <c r="L15" s="39"/>
      <c r="M15" s="2"/>
    </row>
    <row r="16" spans="1:13" ht="12.75">
      <c r="A16" s="65" t="s">
        <v>17</v>
      </c>
      <c r="B16" s="558" t="s">
        <v>212</v>
      </c>
      <c r="C16" s="558"/>
      <c r="D16" s="2"/>
      <c r="E16" s="2"/>
      <c r="F16" s="2"/>
      <c r="G16" s="2"/>
      <c r="H16" s="17"/>
      <c r="I16" s="87" t="s">
        <v>17</v>
      </c>
      <c r="J16" s="39"/>
      <c r="K16" s="39"/>
      <c r="L16" s="39"/>
      <c r="M16" s="2"/>
    </row>
    <row r="17" spans="1:13" ht="12.75">
      <c r="A17" s="65" t="s">
        <v>18</v>
      </c>
      <c r="B17" s="558" t="s">
        <v>102</v>
      </c>
      <c r="C17" s="558"/>
      <c r="D17" s="564"/>
      <c r="E17" s="564"/>
      <c r="F17" s="564"/>
      <c r="G17" s="2"/>
      <c r="H17" s="17"/>
      <c r="I17" s="87" t="s">
        <v>18</v>
      </c>
      <c r="J17" s="38"/>
      <c r="K17" s="38"/>
      <c r="L17" s="38"/>
      <c r="M17" s="12"/>
    </row>
    <row r="18" spans="1:13" ht="12.75">
      <c r="A18" s="65" t="s">
        <v>20</v>
      </c>
      <c r="B18" s="558" t="s">
        <v>390</v>
      </c>
      <c r="C18" s="558"/>
      <c r="D18" s="2"/>
      <c r="E18" s="2"/>
      <c r="F18" s="2"/>
      <c r="G18" s="2"/>
      <c r="H18" s="23">
        <f>SUM(H15:H17)</f>
        <v>0</v>
      </c>
      <c r="I18" s="87" t="s">
        <v>20</v>
      </c>
      <c r="J18" s="39"/>
      <c r="K18" s="39"/>
      <c r="L18" s="39"/>
      <c r="M18" s="2"/>
    </row>
    <row r="19" spans="1:13" ht="12.75">
      <c r="A19" s="5" t="s">
        <v>19</v>
      </c>
      <c r="B19" s="5"/>
      <c r="D19" s="2"/>
      <c r="E19" s="2"/>
      <c r="F19" s="2"/>
      <c r="G19" s="2"/>
      <c r="H19" s="2"/>
      <c r="I19" s="35"/>
      <c r="J19" s="39"/>
      <c r="K19" s="39"/>
      <c r="L19" s="39"/>
      <c r="M19" s="2"/>
    </row>
    <row r="20" spans="1:13" ht="12.75">
      <c r="A20" s="65" t="s">
        <v>21</v>
      </c>
      <c r="B20" s="558" t="s">
        <v>103</v>
      </c>
      <c r="C20" s="558"/>
      <c r="D20" s="2"/>
      <c r="E20" s="2"/>
      <c r="F20" s="2"/>
      <c r="G20" s="2"/>
      <c r="H20" s="17">
        <v>3454768</v>
      </c>
      <c r="I20" s="87" t="s">
        <v>21</v>
      </c>
      <c r="J20" s="39"/>
      <c r="K20" s="39"/>
      <c r="L20" s="39"/>
      <c r="M20" s="2"/>
    </row>
    <row r="21" spans="1:13" ht="12.75">
      <c r="A21" s="503" t="s">
        <v>22</v>
      </c>
      <c r="B21" s="558" t="s">
        <v>214</v>
      </c>
      <c r="C21" s="558"/>
      <c r="D21" s="2"/>
      <c r="E21" s="2"/>
      <c r="F21" s="2"/>
      <c r="G21" s="2"/>
      <c r="H21" s="17" t="s">
        <v>3</v>
      </c>
      <c r="I21" s="502" t="s">
        <v>22</v>
      </c>
      <c r="J21" s="39"/>
      <c r="K21" s="39"/>
      <c r="L21" s="39"/>
      <c r="M21" s="2"/>
    </row>
    <row r="22" spans="1:13" ht="12.75">
      <c r="A22" s="452" t="s">
        <v>23</v>
      </c>
      <c r="B22" s="559" t="s">
        <v>215</v>
      </c>
      <c r="C22" s="559"/>
      <c r="D22" s="2"/>
      <c r="E22" s="2"/>
      <c r="F22" s="2"/>
      <c r="G22" s="2"/>
      <c r="H22" s="17">
        <v>273304</v>
      </c>
      <c r="I22" s="502" t="s">
        <v>23</v>
      </c>
      <c r="J22" s="38"/>
      <c r="K22" s="38"/>
      <c r="L22" s="38"/>
      <c r="M22" s="12"/>
    </row>
    <row r="23" spans="1:13" ht="12.75">
      <c r="A23" s="503" t="s">
        <v>24</v>
      </c>
      <c r="B23" s="559" t="s">
        <v>213</v>
      </c>
      <c r="C23" s="559"/>
      <c r="D23" s="228"/>
      <c r="E23" s="228"/>
      <c r="F23" s="228"/>
      <c r="G23" s="228"/>
      <c r="H23" s="67" t="s">
        <v>3</v>
      </c>
      <c r="I23" s="502" t="s">
        <v>24</v>
      </c>
      <c r="J23" s="39"/>
      <c r="K23" s="39"/>
      <c r="L23" s="39"/>
      <c r="M23" s="2"/>
    </row>
    <row r="24" spans="1:13" ht="12.75">
      <c r="A24" s="503" t="s">
        <v>26</v>
      </c>
      <c r="B24" s="559" t="s">
        <v>104</v>
      </c>
      <c r="C24" s="559"/>
      <c r="D24" s="561"/>
      <c r="E24" s="561"/>
      <c r="F24" s="561"/>
      <c r="G24" s="228"/>
      <c r="H24" s="67"/>
      <c r="I24" s="502" t="s">
        <v>26</v>
      </c>
      <c r="J24" s="39"/>
      <c r="K24" s="39"/>
      <c r="L24" s="39"/>
      <c r="M24" s="2"/>
    </row>
    <row r="25" spans="1:13" ht="12.75">
      <c r="A25" s="503" t="s">
        <v>27</v>
      </c>
      <c r="B25" s="559" t="s">
        <v>391</v>
      </c>
      <c r="C25" s="559"/>
      <c r="D25" s="228"/>
      <c r="E25" s="228"/>
      <c r="F25" s="228"/>
      <c r="G25" s="228"/>
      <c r="H25" s="95">
        <f>SUM(H20:H24)</f>
        <v>3728072</v>
      </c>
      <c r="I25" s="502" t="s">
        <v>27</v>
      </c>
      <c r="J25" s="39"/>
      <c r="K25" s="39"/>
      <c r="L25" s="39"/>
      <c r="M25" s="2"/>
    </row>
    <row r="26" spans="1:13" ht="12.75">
      <c r="A26" s="235" t="s">
        <v>25</v>
      </c>
      <c r="B26" s="229"/>
      <c r="C26" s="47"/>
      <c r="D26" s="228"/>
      <c r="E26" s="228"/>
      <c r="F26" s="228"/>
      <c r="G26" s="228"/>
      <c r="H26" s="228"/>
      <c r="I26" s="35"/>
      <c r="J26" s="39"/>
      <c r="K26" s="39"/>
      <c r="L26" s="39"/>
      <c r="M26" s="2"/>
    </row>
    <row r="27" spans="1:13" ht="12.75">
      <c r="A27" s="452" t="s">
        <v>28</v>
      </c>
      <c r="B27" s="559" t="s">
        <v>216</v>
      </c>
      <c r="C27" s="559"/>
      <c r="D27" s="559"/>
      <c r="E27" s="559"/>
      <c r="F27" s="559"/>
      <c r="G27" s="228"/>
      <c r="H27" s="67"/>
      <c r="I27" s="260" t="s">
        <v>28</v>
      </c>
      <c r="J27" s="39"/>
      <c r="K27" s="39"/>
      <c r="L27" s="39"/>
      <c r="M27" s="2"/>
    </row>
    <row r="28" spans="1:13" ht="12.75">
      <c r="A28" s="256" t="s">
        <v>29</v>
      </c>
      <c r="B28" s="559" t="s">
        <v>217</v>
      </c>
      <c r="C28" s="559"/>
      <c r="D28" s="559"/>
      <c r="E28" s="559"/>
      <c r="F28" s="559"/>
      <c r="G28" s="228"/>
      <c r="H28" s="67">
        <v>65768</v>
      </c>
      <c r="I28" s="260" t="s">
        <v>29</v>
      </c>
      <c r="J28" s="38"/>
      <c r="K28" s="38"/>
      <c r="L28" s="39"/>
      <c r="M28" s="2"/>
    </row>
    <row r="29" spans="1:13" ht="12.75">
      <c r="A29" s="65" t="s">
        <v>30</v>
      </c>
      <c r="B29" s="559" t="s">
        <v>283</v>
      </c>
      <c r="C29" s="559"/>
      <c r="D29" s="559"/>
      <c r="E29" s="559"/>
      <c r="F29" s="559"/>
      <c r="G29" s="563"/>
      <c r="H29" s="67"/>
      <c r="I29" s="87" t="s">
        <v>30</v>
      </c>
      <c r="J29" s="38"/>
      <c r="K29" s="38"/>
      <c r="L29" s="39"/>
      <c r="M29" s="2"/>
    </row>
    <row r="30" spans="1:13" ht="12.75">
      <c r="A30" s="65" t="s">
        <v>31</v>
      </c>
      <c r="B30" s="269" t="s">
        <v>254</v>
      </c>
      <c r="C30" s="228"/>
      <c r="D30" s="228"/>
      <c r="E30" s="228"/>
      <c r="F30" s="228"/>
      <c r="G30" s="228"/>
      <c r="H30" s="67"/>
      <c r="I30" s="87" t="s">
        <v>31</v>
      </c>
      <c r="J30" s="39"/>
      <c r="K30" s="39"/>
      <c r="L30" s="39"/>
      <c r="M30" s="2"/>
    </row>
    <row r="31" spans="1:13" ht="12.75">
      <c r="A31" s="65" t="s">
        <v>32</v>
      </c>
      <c r="B31" s="559" t="s">
        <v>105</v>
      </c>
      <c r="C31" s="559"/>
      <c r="D31" s="559"/>
      <c r="E31" s="559"/>
      <c r="F31" s="559"/>
      <c r="G31" s="563"/>
      <c r="H31" s="67"/>
      <c r="I31" s="87" t="s">
        <v>32</v>
      </c>
      <c r="J31" s="39"/>
      <c r="K31" s="39"/>
      <c r="L31" s="39"/>
      <c r="M31" s="2"/>
    </row>
    <row r="32" spans="1:13" ht="12.75">
      <c r="A32" s="65" t="s">
        <v>77</v>
      </c>
      <c r="B32" s="558" t="s">
        <v>106</v>
      </c>
      <c r="C32" s="558"/>
      <c r="D32" s="564"/>
      <c r="E32" s="564"/>
      <c r="F32" s="564"/>
      <c r="G32" s="2"/>
      <c r="H32" s="17"/>
      <c r="I32" s="87" t="s">
        <v>77</v>
      </c>
      <c r="J32" s="39"/>
      <c r="K32" s="39"/>
      <c r="L32" s="39"/>
      <c r="M32" s="2"/>
    </row>
    <row r="33" spans="1:13" ht="12.75">
      <c r="A33" s="65" t="s">
        <v>78</v>
      </c>
      <c r="B33" s="558" t="s">
        <v>392</v>
      </c>
      <c r="C33" s="558"/>
      <c r="D33" s="2"/>
      <c r="E33" s="2"/>
      <c r="F33" s="2"/>
      <c r="G33" s="2"/>
      <c r="H33" s="23">
        <f>SUM(H27:H32)</f>
        <v>65768</v>
      </c>
      <c r="I33" s="87" t="s">
        <v>78</v>
      </c>
      <c r="J33" s="39"/>
      <c r="K33" s="39"/>
      <c r="L33" s="39"/>
      <c r="M33" s="2"/>
    </row>
    <row r="34" spans="1:13" ht="12.75">
      <c r="A34" s="16"/>
      <c r="B34" s="5"/>
      <c r="C34" s="2"/>
      <c r="D34" s="2"/>
      <c r="E34" s="2"/>
      <c r="F34" s="2"/>
      <c r="G34" s="2"/>
      <c r="H34" s="42"/>
      <c r="I34" s="35"/>
      <c r="J34" s="39"/>
      <c r="K34" s="39"/>
      <c r="L34" s="39"/>
      <c r="M34" s="2"/>
    </row>
    <row r="35" spans="1:13" ht="12.75">
      <c r="A35" s="65" t="s">
        <v>79</v>
      </c>
      <c r="B35" s="562" t="s">
        <v>388</v>
      </c>
      <c r="C35" s="562"/>
      <c r="D35" s="562"/>
      <c r="E35" s="2"/>
      <c r="F35" s="2"/>
      <c r="G35" s="2"/>
      <c r="H35" s="23">
        <f>SUM(H13,H18,H25,H33)</f>
        <v>3805030</v>
      </c>
      <c r="I35" s="87" t="s">
        <v>79</v>
      </c>
      <c r="J35" s="39"/>
      <c r="K35" s="39"/>
      <c r="L35" s="39"/>
      <c r="M35" s="2"/>
    </row>
    <row r="36" spans="9:12" ht="12.75">
      <c r="I36" s="41"/>
      <c r="J36" s="39"/>
      <c r="K36" s="39"/>
      <c r="L36" s="39"/>
    </row>
    <row r="37" spans="9:12" ht="12.75">
      <c r="I37" s="41"/>
      <c r="J37" s="39"/>
      <c r="K37" s="39"/>
      <c r="L37" s="39"/>
    </row>
    <row r="38" spans="9:12" ht="12.75">
      <c r="I38" s="41"/>
      <c r="J38" s="39"/>
      <c r="K38" s="39"/>
      <c r="L38" s="39"/>
    </row>
    <row r="39" spans="9:12" ht="12.75">
      <c r="I39" s="41"/>
      <c r="J39" s="39"/>
      <c r="K39" s="39"/>
      <c r="L39" s="39"/>
    </row>
    <row r="40" spans="9:12" ht="12.75">
      <c r="I40" s="41"/>
      <c r="J40" s="39"/>
      <c r="K40" s="39"/>
      <c r="L40" s="39"/>
    </row>
    <row r="41" spans="9:12" ht="12.75">
      <c r="I41" s="41"/>
      <c r="J41" s="39"/>
      <c r="K41" s="39"/>
      <c r="L41" s="39"/>
    </row>
    <row r="42" spans="9:12" ht="12.75">
      <c r="I42" s="41"/>
      <c r="J42" s="39"/>
      <c r="K42" s="39"/>
      <c r="L42" s="39"/>
    </row>
    <row r="43" spans="9:12" ht="12.75">
      <c r="I43" s="41"/>
      <c r="J43" s="39"/>
      <c r="K43" s="39"/>
      <c r="L43" s="39"/>
    </row>
    <row r="44" spans="9:12" ht="12.75">
      <c r="I44" s="41"/>
      <c r="J44" s="39"/>
      <c r="K44" s="39"/>
      <c r="L44" s="39"/>
    </row>
    <row r="45" spans="9:12" ht="12.75">
      <c r="I45" s="41"/>
      <c r="J45" s="39"/>
      <c r="K45" s="39"/>
      <c r="L45" s="39"/>
    </row>
  </sheetData>
  <sheetProtection sheet="1" formatCells="0" formatColumns="0" formatRows="0"/>
  <mergeCells count="33">
    <mergeCell ref="M1:N1"/>
    <mergeCell ref="D12:F12"/>
    <mergeCell ref="B7:D7"/>
    <mergeCell ref="D17:F17"/>
    <mergeCell ref="B16:C16"/>
    <mergeCell ref="B21:C21"/>
    <mergeCell ref="H1:I1"/>
    <mergeCell ref="B8:D8"/>
    <mergeCell ref="B9:C9"/>
    <mergeCell ref="B10:C10"/>
    <mergeCell ref="B35:D35"/>
    <mergeCell ref="B29:G29"/>
    <mergeCell ref="B31:G31"/>
    <mergeCell ref="B32:C32"/>
    <mergeCell ref="B33:C33"/>
    <mergeCell ref="D32:F32"/>
    <mergeCell ref="B28:F28"/>
    <mergeCell ref="B23:C23"/>
    <mergeCell ref="A1:B1"/>
    <mergeCell ref="B17:C17"/>
    <mergeCell ref="D24:F24"/>
    <mergeCell ref="B18:C18"/>
    <mergeCell ref="B20:C20"/>
    <mergeCell ref="B12:C12"/>
    <mergeCell ref="B13:C13"/>
    <mergeCell ref="B22:C22"/>
    <mergeCell ref="B5:D5"/>
    <mergeCell ref="B6:D6"/>
    <mergeCell ref="B11:C11"/>
    <mergeCell ref="B25:C25"/>
    <mergeCell ref="B27:F27"/>
    <mergeCell ref="B15:C15"/>
    <mergeCell ref="B24:C24"/>
  </mergeCells>
  <hyperlinks>
    <hyperlink ref="A22" location="Restricted3200" display="16."/>
    <hyperlink ref="A27" location="Unrestricted_Restricted_4100_4300" display="20."/>
    <hyperlink ref="A10" location="Food_Service_1600" display="6."/>
  </hyperlinks>
  <printOptions horizontalCentered="1"/>
  <pageMargins left="1" right="0.25" top="0.5" bottom="0.25" header="0.5" footer="0.15"/>
  <pageSetup fitToHeight="1" fitToWidth="1" horizontalDpi="300" verticalDpi="300" orientation="landscape" scale="82" r:id="rId2"/>
  <headerFooter>
    <oddFooter>&amp;LRev. 8/18&amp;CFY 2018&amp;RPage 1 of 10</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N48"/>
  <sheetViews>
    <sheetView showGridLines="0" workbookViewId="0" topLeftCell="A26">
      <selection activeCell="F53" sqref="F53"/>
    </sheetView>
  </sheetViews>
  <sheetFormatPr defaultColWidth="9.33203125" defaultRowHeight="12.75" customHeight="1"/>
  <cols>
    <col min="1" max="1" width="20.83203125" style="3" customWidth="1"/>
    <col min="2" max="2" width="32.33203125" style="3" customWidth="1"/>
    <col min="3" max="3" width="3.83203125" style="3" customWidth="1"/>
    <col min="4" max="5" width="12.83203125" style="3" customWidth="1"/>
    <col min="6" max="6" width="14.83203125" style="3" customWidth="1"/>
    <col min="7" max="12" width="12.83203125" style="3" customWidth="1"/>
    <col min="13" max="13" width="3.16015625" style="3" customWidth="1"/>
    <col min="14" max="16384" width="9.33203125" style="3" customWidth="1"/>
  </cols>
  <sheetData>
    <row r="1" spans="1:12" ht="12" customHeight="1">
      <c r="A1" s="1" t="s">
        <v>0</v>
      </c>
      <c r="B1" s="566" t="str">
        <f>'Cover Page'!D1</f>
        <v>NORTH STAR CHARTER SCHOOL, INC.</v>
      </c>
      <c r="C1" s="566"/>
      <c r="D1" s="2"/>
      <c r="F1" s="4" t="s">
        <v>1</v>
      </c>
      <c r="G1" s="11" t="str">
        <f>'Cover Page'!M1</f>
        <v>MARICOPA</v>
      </c>
      <c r="J1" s="4"/>
      <c r="K1" s="4" t="s">
        <v>138</v>
      </c>
      <c r="L1" s="244" t="str">
        <f>'Cover Page'!R1</f>
        <v>078945000</v>
      </c>
    </row>
    <row r="2" spans="5:12" ht="3.75" customHeight="1">
      <c r="E2" s="2"/>
      <c r="F2" s="2"/>
      <c r="L2" s="9"/>
    </row>
    <row r="3" spans="1:12" ht="15.75" customHeight="1">
      <c r="A3" s="78"/>
      <c r="B3" s="79"/>
      <c r="C3" s="80"/>
      <c r="D3" s="78"/>
      <c r="E3" s="220" t="s">
        <v>218</v>
      </c>
      <c r="F3" s="29" t="s">
        <v>198</v>
      </c>
      <c r="G3" s="221"/>
      <c r="H3" s="222"/>
      <c r="I3" s="570" t="s">
        <v>143</v>
      </c>
      <c r="J3" s="570"/>
      <c r="K3" s="570"/>
      <c r="L3" s="567" t="s">
        <v>262</v>
      </c>
    </row>
    <row r="4" spans="1:12" ht="12" customHeight="1">
      <c r="A4" s="449" t="s">
        <v>113</v>
      </c>
      <c r="B4" s="2"/>
      <c r="C4" s="75"/>
      <c r="D4" s="223" t="s">
        <v>144</v>
      </c>
      <c r="E4" s="224" t="s">
        <v>145</v>
      </c>
      <c r="F4" s="225" t="s">
        <v>189</v>
      </c>
      <c r="G4" s="226" t="s">
        <v>159</v>
      </c>
      <c r="H4" s="223" t="s">
        <v>200</v>
      </c>
      <c r="I4" s="78"/>
      <c r="J4" s="78"/>
      <c r="K4" s="29" t="s">
        <v>281</v>
      </c>
      <c r="L4" s="568"/>
    </row>
    <row r="5" spans="1:12" ht="11.25" customHeight="1">
      <c r="A5" s="82" t="s">
        <v>123</v>
      </c>
      <c r="B5" s="8"/>
      <c r="C5" s="83"/>
      <c r="D5" s="218">
        <v>6100</v>
      </c>
      <c r="E5" s="32">
        <v>6200</v>
      </c>
      <c r="F5" s="32" t="s">
        <v>34</v>
      </c>
      <c r="G5" s="219">
        <v>6600</v>
      </c>
      <c r="H5" s="218">
        <v>6800</v>
      </c>
      <c r="I5" s="330" t="s">
        <v>162</v>
      </c>
      <c r="J5" s="223" t="s">
        <v>163</v>
      </c>
      <c r="K5" s="225" t="s">
        <v>163</v>
      </c>
      <c r="L5" s="569"/>
    </row>
    <row r="6" spans="1:12" ht="12" customHeight="1">
      <c r="A6" s="84" t="s">
        <v>36</v>
      </c>
      <c r="B6" s="79"/>
      <c r="C6" s="80"/>
      <c r="D6" s="348"/>
      <c r="E6" s="348"/>
      <c r="F6" s="348"/>
      <c r="G6" s="348"/>
      <c r="H6" s="348"/>
      <c r="I6" s="579">
        <v>1355534</v>
      </c>
      <c r="J6" s="575">
        <f>SUM(D7:H7)</f>
        <v>2034834</v>
      </c>
      <c r="K6" s="575">
        <v>577323</v>
      </c>
      <c r="L6" s="573">
        <f>IF(J6=K6,0,IF(K6&gt;0,(J6-K6)/K6,"--"))</f>
        <v>2.5246</v>
      </c>
    </row>
    <row r="7" spans="1:13" ht="12" customHeight="1">
      <c r="A7" s="85" t="s">
        <v>37</v>
      </c>
      <c r="B7" s="2"/>
      <c r="C7" s="86" t="s">
        <v>6</v>
      </c>
      <c r="D7" s="506">
        <v>52333</v>
      </c>
      <c r="E7" s="347">
        <v>13338</v>
      </c>
      <c r="F7" s="347">
        <v>1899130</v>
      </c>
      <c r="G7" s="347">
        <v>67480</v>
      </c>
      <c r="H7" s="351">
        <v>2553</v>
      </c>
      <c r="I7" s="580"/>
      <c r="J7" s="576"/>
      <c r="K7" s="576"/>
      <c r="L7" s="574"/>
      <c r="M7" s="87" t="s">
        <v>6</v>
      </c>
    </row>
    <row r="8" spans="1:13" ht="12" customHeight="1">
      <c r="A8" s="85" t="s">
        <v>258</v>
      </c>
      <c r="B8" s="2"/>
      <c r="C8" s="75"/>
      <c r="D8" s="348"/>
      <c r="E8" s="348"/>
      <c r="F8" s="348"/>
      <c r="G8" s="349"/>
      <c r="H8" s="348"/>
      <c r="I8" s="581">
        <v>0</v>
      </c>
      <c r="J8" s="575">
        <f>SUM(D9:H9)</f>
        <v>0</v>
      </c>
      <c r="K8" s="577">
        <f>[1]!SP1000P100F2100</f>
        <v>0</v>
      </c>
      <c r="L8" s="571">
        <f>IF(J8=K8,0,IF(K8&gt;0,(J8-K8)/K8,"--"))</f>
        <v>0</v>
      </c>
      <c r="M8" s="35"/>
    </row>
    <row r="9" spans="1:13" ht="12" customHeight="1">
      <c r="A9" s="85" t="s">
        <v>236</v>
      </c>
      <c r="B9" s="2"/>
      <c r="C9" s="86" t="s">
        <v>7</v>
      </c>
      <c r="D9" s="347"/>
      <c r="E9" s="347"/>
      <c r="F9" s="347"/>
      <c r="G9" s="350"/>
      <c r="H9" s="347"/>
      <c r="I9" s="582"/>
      <c r="J9" s="576"/>
      <c r="K9" s="578"/>
      <c r="L9" s="572"/>
      <c r="M9" s="87" t="s">
        <v>7</v>
      </c>
    </row>
    <row r="10" spans="1:13" ht="12" customHeight="1">
      <c r="A10" s="85" t="s">
        <v>237</v>
      </c>
      <c r="B10" s="2"/>
      <c r="C10" s="86" t="s">
        <v>8</v>
      </c>
      <c r="D10" s="76" t="s">
        <v>3</v>
      </c>
      <c r="E10" s="17"/>
      <c r="F10" s="76"/>
      <c r="G10" s="17"/>
      <c r="H10" s="347"/>
      <c r="I10" s="77">
        <f>[2]!SP1000P100F2200</f>
        <v>0</v>
      </c>
      <c r="J10" s="77">
        <f aca="true" t="shared" si="0" ref="J10:J21">SUM(D10:H10)</f>
        <v>0</v>
      </c>
      <c r="K10" s="77">
        <f>[1]!SP1000P100F2200</f>
        <v>0</v>
      </c>
      <c r="L10" s="279">
        <f aca="true" t="shared" si="1" ref="L10:L16">IF(J10=K10,0,IF(K10&gt;0,(J10-K10)/K10,"--"))</f>
        <v>0</v>
      </c>
      <c r="M10" s="87" t="s">
        <v>8</v>
      </c>
    </row>
    <row r="11" spans="1:13" ht="12" customHeight="1">
      <c r="A11" s="85" t="s">
        <v>38</v>
      </c>
      <c r="B11" s="2"/>
      <c r="C11" s="86" t="s">
        <v>9</v>
      </c>
      <c r="D11" s="76">
        <v>11016</v>
      </c>
      <c r="E11" s="17">
        <v>2990</v>
      </c>
      <c r="F11" s="76">
        <v>219537</v>
      </c>
      <c r="G11" s="17">
        <v>16622</v>
      </c>
      <c r="H11" s="76">
        <v>13677</v>
      </c>
      <c r="I11" s="77">
        <v>94810</v>
      </c>
      <c r="J11" s="77">
        <f t="shared" si="0"/>
        <v>263842</v>
      </c>
      <c r="K11" s="77">
        <v>339952</v>
      </c>
      <c r="L11" s="279">
        <f t="shared" si="1"/>
        <v>-0.2239</v>
      </c>
      <c r="M11" s="87" t="s">
        <v>9</v>
      </c>
    </row>
    <row r="12" spans="1:13" ht="12" customHeight="1">
      <c r="A12" s="85" t="s">
        <v>39</v>
      </c>
      <c r="B12" s="2"/>
      <c r="C12" s="86" t="s">
        <v>10</v>
      </c>
      <c r="D12" s="76">
        <v>195400</v>
      </c>
      <c r="E12" s="17">
        <v>50362</v>
      </c>
      <c r="F12" s="76"/>
      <c r="G12" s="17">
        <v>7907</v>
      </c>
      <c r="H12" s="76">
        <v>4256</v>
      </c>
      <c r="I12" s="77">
        <v>47327</v>
      </c>
      <c r="J12" s="77">
        <f t="shared" si="0"/>
        <v>257925</v>
      </c>
      <c r="K12" s="77">
        <v>262229</v>
      </c>
      <c r="L12" s="279">
        <f t="shared" si="1"/>
        <v>-0.0164</v>
      </c>
      <c r="M12" s="87" t="s">
        <v>10</v>
      </c>
    </row>
    <row r="13" spans="1:13" ht="12" customHeight="1">
      <c r="A13" s="85" t="s">
        <v>238</v>
      </c>
      <c r="B13" s="2"/>
      <c r="C13" s="86" t="s">
        <v>11</v>
      </c>
      <c r="D13" s="76"/>
      <c r="E13" s="17"/>
      <c r="F13" s="76"/>
      <c r="G13" s="17"/>
      <c r="H13" s="76"/>
      <c r="I13" s="77">
        <f>[2]!SP1000P100F2500</f>
        <v>0</v>
      </c>
      <c r="J13" s="77">
        <f t="shared" si="0"/>
        <v>0</v>
      </c>
      <c r="K13" s="77">
        <v>26840</v>
      </c>
      <c r="L13" s="279">
        <f t="shared" si="1"/>
        <v>-1</v>
      </c>
      <c r="M13" s="87" t="s">
        <v>11</v>
      </c>
    </row>
    <row r="14" spans="1:13" ht="12" customHeight="1">
      <c r="A14" s="85" t="s">
        <v>300</v>
      </c>
      <c r="B14" s="2"/>
      <c r="C14" s="86" t="s">
        <v>12</v>
      </c>
      <c r="D14" s="76"/>
      <c r="E14" s="17"/>
      <c r="F14" s="76">
        <v>22996</v>
      </c>
      <c r="G14" s="17"/>
      <c r="H14" s="76"/>
      <c r="I14" s="77">
        <v>47563</v>
      </c>
      <c r="J14" s="77">
        <f t="shared" si="0"/>
        <v>22996</v>
      </c>
      <c r="K14" s="77">
        <v>28373</v>
      </c>
      <c r="L14" s="279">
        <f t="shared" si="1"/>
        <v>-0.1895</v>
      </c>
      <c r="M14" s="87" t="s">
        <v>12</v>
      </c>
    </row>
    <row r="15" spans="1:13" ht="12" customHeight="1">
      <c r="A15" s="85" t="s">
        <v>124</v>
      </c>
      <c r="B15" s="2"/>
      <c r="C15" s="86" t="s">
        <v>14</v>
      </c>
      <c r="D15" s="76"/>
      <c r="E15" s="17"/>
      <c r="F15" s="76"/>
      <c r="G15" s="17"/>
      <c r="H15" s="76"/>
      <c r="I15" s="77">
        <f>[2]!SP1000P100F2900</f>
        <v>0</v>
      </c>
      <c r="J15" s="77">
        <f t="shared" si="0"/>
        <v>0</v>
      </c>
      <c r="K15" s="77">
        <f>[1]!SP1000P100F2900</f>
        <v>0</v>
      </c>
      <c r="L15" s="279">
        <f t="shared" si="1"/>
        <v>0</v>
      </c>
      <c r="M15" s="87" t="s">
        <v>14</v>
      </c>
    </row>
    <row r="16" spans="1:13" ht="12" customHeight="1">
      <c r="A16" s="85" t="s">
        <v>40</v>
      </c>
      <c r="B16" s="2"/>
      <c r="C16" s="86" t="s">
        <v>15</v>
      </c>
      <c r="D16" s="76"/>
      <c r="E16" s="17"/>
      <c r="F16" s="76"/>
      <c r="G16" s="17"/>
      <c r="H16" s="76"/>
      <c r="I16" s="77">
        <f>[2]!SP1000P100F3000</f>
        <v>0</v>
      </c>
      <c r="J16" s="77">
        <f t="shared" si="0"/>
        <v>0</v>
      </c>
      <c r="K16" s="77">
        <f>[1]!SP1000P100F3000</f>
        <v>0</v>
      </c>
      <c r="L16" s="279">
        <f t="shared" si="1"/>
        <v>0</v>
      </c>
      <c r="M16" s="87" t="s">
        <v>15</v>
      </c>
    </row>
    <row r="17" spans="1:13" ht="12" customHeight="1">
      <c r="A17" s="85" t="s">
        <v>301</v>
      </c>
      <c r="B17" s="2"/>
      <c r="C17" s="86" t="s">
        <v>16</v>
      </c>
      <c r="D17" s="76"/>
      <c r="E17" s="17"/>
      <c r="F17" s="76"/>
      <c r="G17" s="17"/>
      <c r="H17" s="76"/>
      <c r="I17" s="77">
        <f>[2]!SP1000P100F4000</f>
        <v>0</v>
      </c>
      <c r="J17" s="77">
        <f t="shared" si="0"/>
        <v>0</v>
      </c>
      <c r="K17" s="77">
        <f>[1]!SP1000P100F4000</f>
        <v>0</v>
      </c>
      <c r="L17" s="279">
        <f aca="true" t="shared" si="2" ref="L17:L22">IF(J17=K17,0,IF(K17&gt;0,(J17-K17)/K17,"--"))</f>
        <v>0</v>
      </c>
      <c r="M17" s="87" t="s">
        <v>16</v>
      </c>
    </row>
    <row r="18" spans="1:13" ht="12" customHeight="1">
      <c r="A18" s="85" t="s">
        <v>41</v>
      </c>
      <c r="B18" s="2"/>
      <c r="C18" s="86" t="s">
        <v>17</v>
      </c>
      <c r="D18" s="88"/>
      <c r="E18" s="17"/>
      <c r="F18" s="76"/>
      <c r="G18" s="17"/>
      <c r="H18" s="76">
        <v>283315</v>
      </c>
      <c r="I18" s="77">
        <v>322524</v>
      </c>
      <c r="J18" s="77">
        <f t="shared" si="0"/>
        <v>283315</v>
      </c>
      <c r="K18" s="77">
        <v>284119</v>
      </c>
      <c r="L18" s="279">
        <f t="shared" si="2"/>
        <v>-0.0028</v>
      </c>
      <c r="M18" s="87" t="s">
        <v>17</v>
      </c>
    </row>
    <row r="19" spans="1:13" ht="12" customHeight="1">
      <c r="A19" s="85" t="s">
        <v>130</v>
      </c>
      <c r="B19" s="2"/>
      <c r="C19" s="86" t="s">
        <v>18</v>
      </c>
      <c r="D19" s="88"/>
      <c r="E19" s="17"/>
      <c r="F19" s="76"/>
      <c r="G19" s="17"/>
      <c r="H19" s="76"/>
      <c r="I19" s="77">
        <f>[2]!SP1000P610</f>
        <v>0</v>
      </c>
      <c r="J19" s="77">
        <f t="shared" si="0"/>
        <v>0</v>
      </c>
      <c r="K19" s="77">
        <f>[1]!SP1000P610</f>
        <v>0</v>
      </c>
      <c r="L19" s="279">
        <f t="shared" si="2"/>
        <v>0</v>
      </c>
      <c r="M19" s="87" t="s">
        <v>18</v>
      </c>
    </row>
    <row r="20" spans="1:13" ht="12" customHeight="1">
      <c r="A20" s="85" t="s">
        <v>131</v>
      </c>
      <c r="B20" s="2"/>
      <c r="C20" s="86" t="s">
        <v>20</v>
      </c>
      <c r="D20" s="88"/>
      <c r="E20" s="17"/>
      <c r="F20" s="76"/>
      <c r="G20" s="17"/>
      <c r="H20" s="76"/>
      <c r="I20" s="77">
        <f>[2]!SP1000P620</f>
        <v>0</v>
      </c>
      <c r="J20" s="77">
        <f t="shared" si="0"/>
        <v>0</v>
      </c>
      <c r="K20" s="77">
        <f>[1]!SP1000P620</f>
        <v>0</v>
      </c>
      <c r="L20" s="279">
        <f t="shared" si="2"/>
        <v>0</v>
      </c>
      <c r="M20" s="87" t="s">
        <v>20</v>
      </c>
    </row>
    <row r="21" spans="1:13" ht="12" customHeight="1">
      <c r="A21" s="85" t="s">
        <v>132</v>
      </c>
      <c r="B21" s="2"/>
      <c r="C21" s="86" t="s">
        <v>21</v>
      </c>
      <c r="D21" s="88"/>
      <c r="E21" s="17"/>
      <c r="F21" s="76"/>
      <c r="G21" s="17"/>
      <c r="H21" s="76"/>
      <c r="I21" s="77">
        <f>[2]!SP1000P630700800900</f>
        <v>0</v>
      </c>
      <c r="J21" s="77">
        <f t="shared" si="0"/>
        <v>0</v>
      </c>
      <c r="K21" s="77">
        <v>187117</v>
      </c>
      <c r="L21" s="279">
        <f t="shared" si="2"/>
        <v>-1</v>
      </c>
      <c r="M21" s="87" t="s">
        <v>21</v>
      </c>
    </row>
    <row r="22" spans="1:13" ht="12" customHeight="1">
      <c r="A22" s="89" t="s">
        <v>231</v>
      </c>
      <c r="B22" s="8"/>
      <c r="C22" s="90" t="s">
        <v>22</v>
      </c>
      <c r="D22" s="23">
        <f>SUM(D6:D21)</f>
        <v>258749</v>
      </c>
      <c r="E22" s="23">
        <f aca="true" t="shared" si="3" ref="E22:K22">SUM(E6:E21)</f>
        <v>66690</v>
      </c>
      <c r="F22" s="23">
        <f t="shared" si="3"/>
        <v>2141663</v>
      </c>
      <c r="G22" s="23">
        <f t="shared" si="3"/>
        <v>92009</v>
      </c>
      <c r="H22" s="23">
        <f t="shared" si="3"/>
        <v>303801</v>
      </c>
      <c r="I22" s="43">
        <f t="shared" si="3"/>
        <v>1867758</v>
      </c>
      <c r="J22" s="23">
        <f>SUM(J6:J21)</f>
        <v>2862912</v>
      </c>
      <c r="K22" s="77">
        <f t="shared" si="3"/>
        <v>1705953</v>
      </c>
      <c r="L22" s="279">
        <f t="shared" si="2"/>
        <v>0.6782</v>
      </c>
      <c r="M22" s="87" t="s">
        <v>22</v>
      </c>
    </row>
    <row r="23" spans="1:13" ht="12" customHeight="1">
      <c r="A23" s="81" t="s">
        <v>42</v>
      </c>
      <c r="B23" s="2"/>
      <c r="C23" s="75"/>
      <c r="D23" s="348"/>
      <c r="E23" s="348"/>
      <c r="F23" s="348"/>
      <c r="G23" s="348"/>
      <c r="H23" s="348"/>
      <c r="I23" s="575">
        <v>11000</v>
      </c>
      <c r="J23" s="575">
        <f>SUM(D24:H24)</f>
        <v>34000</v>
      </c>
      <c r="K23" s="575">
        <v>33000</v>
      </c>
      <c r="L23" s="571">
        <f>IF(J23=K23,0,IF(K23&gt;0,(J23-K23)/K23,"--"))</f>
        <v>0.0303</v>
      </c>
      <c r="M23" s="35"/>
    </row>
    <row r="24" spans="1:13" ht="12" customHeight="1">
      <c r="A24" s="85" t="s">
        <v>43</v>
      </c>
      <c r="B24" s="2"/>
      <c r="C24" s="86" t="s">
        <v>23</v>
      </c>
      <c r="D24" s="347"/>
      <c r="E24" s="347"/>
      <c r="F24" s="347">
        <v>34000</v>
      </c>
      <c r="G24" s="347"/>
      <c r="H24" s="347"/>
      <c r="I24" s="576"/>
      <c r="J24" s="576"/>
      <c r="K24" s="576"/>
      <c r="L24" s="572"/>
      <c r="M24" s="87" t="s">
        <v>23</v>
      </c>
    </row>
    <row r="25" spans="1:13" ht="12" customHeight="1">
      <c r="A25" s="85" t="s">
        <v>265</v>
      </c>
      <c r="B25" s="2"/>
      <c r="C25" s="75"/>
      <c r="D25" s="348"/>
      <c r="E25" s="348"/>
      <c r="F25" s="348"/>
      <c r="G25" s="348"/>
      <c r="H25" s="348"/>
      <c r="I25" s="575">
        <f>[2]!SP1000P200F2100</f>
        <v>0</v>
      </c>
      <c r="J25" s="575">
        <f>SUM(D26:H26)</f>
        <v>0</v>
      </c>
      <c r="K25" s="575">
        <f>[1]!SP1000P200F2100</f>
        <v>0</v>
      </c>
      <c r="L25" s="571">
        <f>IF(J25=K25,0,IF(K25&gt;0,(J25-K25)/K25,"--"))</f>
        <v>0</v>
      </c>
      <c r="M25" s="35"/>
    </row>
    <row r="26" spans="1:13" ht="12" customHeight="1">
      <c r="A26" s="85" t="s">
        <v>259</v>
      </c>
      <c r="B26" s="2"/>
      <c r="C26" s="86" t="s">
        <v>24</v>
      </c>
      <c r="D26" s="347"/>
      <c r="E26" s="347"/>
      <c r="F26" s="347"/>
      <c r="G26" s="347"/>
      <c r="H26" s="347"/>
      <c r="I26" s="576"/>
      <c r="J26" s="576"/>
      <c r="K26" s="576"/>
      <c r="L26" s="572"/>
      <c r="M26" s="87" t="s">
        <v>24</v>
      </c>
    </row>
    <row r="27" spans="1:13" ht="12" customHeight="1">
      <c r="A27" s="85" t="s">
        <v>239</v>
      </c>
      <c r="B27" s="2"/>
      <c r="C27" s="86" t="s">
        <v>26</v>
      </c>
      <c r="D27" s="76"/>
      <c r="E27" s="17"/>
      <c r="F27" s="76"/>
      <c r="G27" s="17"/>
      <c r="H27" s="76"/>
      <c r="I27" s="77">
        <f>[2]!SP1000P200F2200</f>
        <v>0</v>
      </c>
      <c r="J27" s="77">
        <f aca="true" t="shared" si="4" ref="J27:J35">SUM(D27:H27)</f>
        <v>0</v>
      </c>
      <c r="K27" s="77">
        <f>[1]!SP1000P200F2200</f>
        <v>0</v>
      </c>
      <c r="L27" s="279">
        <f>IF(J27=K27,0,IF(K27&gt;0,(J27-K27)/K27,"--"))</f>
        <v>0</v>
      </c>
      <c r="M27" s="87" t="s">
        <v>26</v>
      </c>
    </row>
    <row r="28" spans="1:13" ht="12" customHeight="1">
      <c r="A28" s="85" t="s">
        <v>44</v>
      </c>
      <c r="B28" s="2"/>
      <c r="C28" s="86" t="s">
        <v>27</v>
      </c>
      <c r="D28" s="76"/>
      <c r="E28" s="17"/>
      <c r="F28" s="76"/>
      <c r="G28" s="17"/>
      <c r="H28" s="76"/>
      <c r="I28" s="77">
        <f>[2]!SP1000P200F2300</f>
        <v>0</v>
      </c>
      <c r="J28" s="77">
        <f t="shared" si="4"/>
        <v>0</v>
      </c>
      <c r="K28" s="77">
        <f>[1]!SP1000P200F2300</f>
        <v>0</v>
      </c>
      <c r="L28" s="279">
        <f aca="true" t="shared" si="5" ref="L28:L47">IF(J28=K28,0,IF(K28&gt;0,(J28-K28)/K28,"--"))</f>
        <v>0</v>
      </c>
      <c r="M28" s="87" t="s">
        <v>27</v>
      </c>
    </row>
    <row r="29" spans="1:13" ht="12" customHeight="1">
      <c r="A29" s="85" t="s">
        <v>45</v>
      </c>
      <c r="B29" s="2"/>
      <c r="C29" s="86" t="s">
        <v>28</v>
      </c>
      <c r="D29" s="76"/>
      <c r="E29" s="17"/>
      <c r="F29" s="76"/>
      <c r="G29" s="17"/>
      <c r="H29" s="76"/>
      <c r="I29" s="77">
        <f>[2]!SP1000P200F2400</f>
        <v>0</v>
      </c>
      <c r="J29" s="77">
        <f t="shared" si="4"/>
        <v>0</v>
      </c>
      <c r="K29" s="77">
        <f>[1]!SP1000P200F2400</f>
        <v>0</v>
      </c>
      <c r="L29" s="279">
        <f t="shared" si="5"/>
        <v>0</v>
      </c>
      <c r="M29" s="87" t="s">
        <v>28</v>
      </c>
    </row>
    <row r="30" spans="1:13" ht="12" customHeight="1">
      <c r="A30" s="85" t="s">
        <v>240</v>
      </c>
      <c r="B30" s="2"/>
      <c r="C30" s="86" t="s">
        <v>29</v>
      </c>
      <c r="D30" s="76"/>
      <c r="E30" s="17"/>
      <c r="F30" s="76"/>
      <c r="G30" s="17"/>
      <c r="H30" s="76"/>
      <c r="I30" s="77">
        <f>[2]!SP1000P200F2500</f>
        <v>0</v>
      </c>
      <c r="J30" s="77">
        <f>SUM(D30:H30)</f>
        <v>0</v>
      </c>
      <c r="K30" s="77">
        <f>[1]!SP1000P200F2500</f>
        <v>0</v>
      </c>
      <c r="L30" s="279">
        <f t="shared" si="5"/>
        <v>0</v>
      </c>
      <c r="M30" s="87" t="s">
        <v>29</v>
      </c>
    </row>
    <row r="31" spans="1:13" ht="12" customHeight="1">
      <c r="A31" s="85" t="s">
        <v>302</v>
      </c>
      <c r="B31" s="2"/>
      <c r="C31" s="86" t="s">
        <v>30</v>
      </c>
      <c r="D31" s="76"/>
      <c r="E31" s="17"/>
      <c r="F31" s="76"/>
      <c r="G31" s="17"/>
      <c r="H31" s="76"/>
      <c r="I31" s="77">
        <f>[2]!SP1000P200F2600</f>
        <v>0</v>
      </c>
      <c r="J31" s="77">
        <f>SUM(D31:H31)</f>
        <v>0</v>
      </c>
      <c r="K31" s="77">
        <f>[1]!SP1000P200F2600</f>
        <v>0</v>
      </c>
      <c r="L31" s="279">
        <f t="shared" si="5"/>
        <v>0</v>
      </c>
      <c r="M31" s="87" t="s">
        <v>30</v>
      </c>
    </row>
    <row r="32" spans="1:13" ht="12" customHeight="1">
      <c r="A32" s="85" t="s">
        <v>127</v>
      </c>
      <c r="B32" s="2"/>
      <c r="C32" s="86" t="s">
        <v>31</v>
      </c>
      <c r="D32" s="76"/>
      <c r="E32" s="17"/>
      <c r="F32" s="76"/>
      <c r="G32" s="17"/>
      <c r="H32" s="76"/>
      <c r="I32" s="77">
        <f>[2]!SP1000P200F2900</f>
        <v>0</v>
      </c>
      <c r="J32" s="77">
        <f t="shared" si="4"/>
        <v>0</v>
      </c>
      <c r="K32" s="77">
        <f>[1]!SP1000P200F2900</f>
        <v>0</v>
      </c>
      <c r="L32" s="279">
        <f t="shared" si="5"/>
        <v>0</v>
      </c>
      <c r="M32" s="87" t="s">
        <v>31</v>
      </c>
    </row>
    <row r="33" spans="1:13" ht="12" customHeight="1">
      <c r="A33" s="85" t="s">
        <v>46</v>
      </c>
      <c r="B33" s="2"/>
      <c r="C33" s="86" t="s">
        <v>32</v>
      </c>
      <c r="D33" s="76"/>
      <c r="E33" s="17"/>
      <c r="F33" s="76"/>
      <c r="G33" s="17"/>
      <c r="H33" s="76"/>
      <c r="I33" s="77">
        <f>[2]!SP1000P200F3000</f>
        <v>0</v>
      </c>
      <c r="J33" s="77">
        <f t="shared" si="4"/>
        <v>0</v>
      </c>
      <c r="K33" s="77">
        <f>[1]!SP1000P200F3000</f>
        <v>0</v>
      </c>
      <c r="L33" s="279">
        <f t="shared" si="5"/>
        <v>0</v>
      </c>
      <c r="M33" s="87" t="s">
        <v>32</v>
      </c>
    </row>
    <row r="34" spans="1:13" ht="12" customHeight="1">
      <c r="A34" s="85" t="s">
        <v>303</v>
      </c>
      <c r="B34" s="2"/>
      <c r="C34" s="86" t="s">
        <v>77</v>
      </c>
      <c r="D34" s="76"/>
      <c r="E34" s="17"/>
      <c r="F34" s="76"/>
      <c r="G34" s="17"/>
      <c r="H34" s="76"/>
      <c r="I34" s="77">
        <f>[2]!SP1000P200F4000</f>
        <v>0</v>
      </c>
      <c r="J34" s="77">
        <f t="shared" si="4"/>
        <v>0</v>
      </c>
      <c r="K34" s="77">
        <f>[1]!SP1000P200F4000</f>
        <v>0</v>
      </c>
      <c r="L34" s="279">
        <f t="shared" si="5"/>
        <v>0</v>
      </c>
      <c r="M34" s="87" t="s">
        <v>77</v>
      </c>
    </row>
    <row r="35" spans="1:13" ht="12" customHeight="1">
      <c r="A35" s="85" t="s">
        <v>47</v>
      </c>
      <c r="B35" s="2"/>
      <c r="C35" s="86" t="s">
        <v>78</v>
      </c>
      <c r="D35" s="88"/>
      <c r="E35" s="17"/>
      <c r="F35" s="76"/>
      <c r="G35" s="17"/>
      <c r="H35" s="76"/>
      <c r="I35" s="77">
        <f>[2]!SP1000P200F5000</f>
        <v>0</v>
      </c>
      <c r="J35" s="77">
        <f t="shared" si="4"/>
        <v>0</v>
      </c>
      <c r="K35" s="77">
        <f>[1]!SP1000P200F5000</f>
        <v>0</v>
      </c>
      <c r="L35" s="279">
        <f t="shared" si="5"/>
        <v>0</v>
      </c>
      <c r="M35" s="87" t="s">
        <v>78</v>
      </c>
    </row>
    <row r="36" spans="1:13" ht="12" customHeight="1">
      <c r="A36" s="89" t="s">
        <v>125</v>
      </c>
      <c r="B36" s="8"/>
      <c r="C36" s="90" t="s">
        <v>79</v>
      </c>
      <c r="D36" s="23">
        <f aca="true" t="shared" si="6" ref="D36:K36">SUM(D23:D35)</f>
        <v>0</v>
      </c>
      <c r="E36" s="23">
        <f t="shared" si="6"/>
        <v>0</v>
      </c>
      <c r="F36" s="23">
        <f t="shared" si="6"/>
        <v>34000</v>
      </c>
      <c r="G36" s="23">
        <f t="shared" si="6"/>
        <v>0</v>
      </c>
      <c r="H36" s="23">
        <f t="shared" si="6"/>
        <v>0</v>
      </c>
      <c r="I36" s="43">
        <f t="shared" si="6"/>
        <v>11000</v>
      </c>
      <c r="J36" s="43">
        <f>SUM(J23:J35)</f>
        <v>34000</v>
      </c>
      <c r="K36" s="77">
        <f t="shared" si="6"/>
        <v>33000</v>
      </c>
      <c r="L36" s="279">
        <f t="shared" si="5"/>
        <v>0.0303</v>
      </c>
      <c r="M36" s="87" t="s">
        <v>79</v>
      </c>
    </row>
    <row r="37" spans="1:13" ht="12" customHeight="1">
      <c r="A37" s="91" t="s">
        <v>48</v>
      </c>
      <c r="B37" s="92"/>
      <c r="C37" s="93" t="s">
        <v>81</v>
      </c>
      <c r="D37" s="76"/>
      <c r="E37" s="17"/>
      <c r="F37" s="76"/>
      <c r="G37" s="17"/>
      <c r="H37" s="76"/>
      <c r="I37" s="77">
        <f>[2]!SP1000P400</f>
        <v>0</v>
      </c>
      <c r="J37" s="77">
        <f>SUM(D37:H37)</f>
        <v>0</v>
      </c>
      <c r="K37" s="77">
        <f>[1]!SP1000P400</f>
        <v>0</v>
      </c>
      <c r="L37" s="279">
        <f t="shared" si="5"/>
        <v>0</v>
      </c>
      <c r="M37" s="87" t="s">
        <v>81</v>
      </c>
    </row>
    <row r="38" spans="1:13" ht="12" customHeight="1">
      <c r="A38" s="91" t="s">
        <v>49</v>
      </c>
      <c r="B38" s="92"/>
      <c r="C38" s="93" t="s">
        <v>82</v>
      </c>
      <c r="D38" s="76"/>
      <c r="E38" s="17"/>
      <c r="F38" s="76"/>
      <c r="G38" s="17"/>
      <c r="H38" s="76"/>
      <c r="I38" s="77">
        <f>[2]!SP1000P530</f>
        <v>0</v>
      </c>
      <c r="J38" s="77">
        <f>SUM(D38:H38)</f>
        <v>0</v>
      </c>
      <c r="K38" s="77">
        <f>[1]!SP1000P530</f>
        <v>0</v>
      </c>
      <c r="L38" s="279">
        <f t="shared" si="5"/>
        <v>0</v>
      </c>
      <c r="M38" s="87" t="s">
        <v>82</v>
      </c>
    </row>
    <row r="39" spans="1:13" ht="12" customHeight="1">
      <c r="A39" s="91" t="s">
        <v>241</v>
      </c>
      <c r="B39" s="92"/>
      <c r="C39" s="93" t="s">
        <v>83</v>
      </c>
      <c r="D39" s="76"/>
      <c r="E39" s="17"/>
      <c r="F39" s="76"/>
      <c r="G39" s="17"/>
      <c r="H39" s="76"/>
      <c r="I39" s="77">
        <f>[2]!SP1000P540</f>
        <v>0</v>
      </c>
      <c r="J39" s="77">
        <f>SUM(D39:H39)</f>
        <v>0</v>
      </c>
      <c r="K39" s="77">
        <f>[1]!SP1000P540</f>
        <v>0</v>
      </c>
      <c r="L39" s="279">
        <f t="shared" si="5"/>
        <v>0</v>
      </c>
      <c r="M39" s="87" t="s">
        <v>83</v>
      </c>
    </row>
    <row r="40" spans="1:13" ht="12" customHeight="1">
      <c r="A40" s="91" t="s">
        <v>350</v>
      </c>
      <c r="B40" s="92"/>
      <c r="C40" s="93" t="s">
        <v>84</v>
      </c>
      <c r="D40" s="76"/>
      <c r="E40" s="17"/>
      <c r="F40" s="76"/>
      <c r="G40" s="17"/>
      <c r="H40" s="76"/>
      <c r="I40" s="77">
        <f>[2]!SP1000P550</f>
        <v>0</v>
      </c>
      <c r="J40" s="77">
        <f>SUM(D40:H40)</f>
        <v>0</v>
      </c>
      <c r="K40" s="77">
        <f>[1]!SP1000P550</f>
        <v>0</v>
      </c>
      <c r="L40" s="279">
        <f t="shared" si="5"/>
        <v>0</v>
      </c>
      <c r="M40" s="87" t="s">
        <v>84</v>
      </c>
    </row>
    <row r="41" spans="1:13" ht="12" customHeight="1">
      <c r="A41" s="91" t="s">
        <v>437</v>
      </c>
      <c r="B41" s="92"/>
      <c r="C41" s="93" t="s">
        <v>87</v>
      </c>
      <c r="D41" s="23">
        <f aca="true" t="shared" si="7" ref="D41:I41">SUM(D37:D40)+D36+D22</f>
        <v>258749</v>
      </c>
      <c r="E41" s="23">
        <f t="shared" si="7"/>
        <v>66690</v>
      </c>
      <c r="F41" s="23">
        <f t="shared" si="7"/>
        <v>2175663</v>
      </c>
      <c r="G41" s="23">
        <f t="shared" si="7"/>
        <v>92009</v>
      </c>
      <c r="H41" s="23">
        <f t="shared" si="7"/>
        <v>303801</v>
      </c>
      <c r="I41" s="43">
        <f t="shared" si="7"/>
        <v>1878758</v>
      </c>
      <c r="J41" s="23">
        <f>SUM(J36:J40)+J22</f>
        <v>2896912</v>
      </c>
      <c r="K41" s="77">
        <f>SUM(K22)+SUM(K36:K40)</f>
        <v>1738953</v>
      </c>
      <c r="L41" s="279">
        <f t="shared" si="5"/>
        <v>0.6659</v>
      </c>
      <c r="M41" s="87" t="s">
        <v>87</v>
      </c>
    </row>
    <row r="42" spans="1:13" ht="12" customHeight="1">
      <c r="A42" s="91" t="s">
        <v>210</v>
      </c>
      <c r="B42" s="92"/>
      <c r="C42" s="93" t="s">
        <v>88</v>
      </c>
      <c r="D42" s="43">
        <f>TotalCSP6100</f>
        <v>138451</v>
      </c>
      <c r="E42" s="43">
        <f>TotalCSP6200</f>
        <v>14739</v>
      </c>
      <c r="F42" s="43">
        <f>TotalCSP630064006500</f>
        <v>102127</v>
      </c>
      <c r="G42" s="43">
        <f>TotalCSP6600</f>
        <v>0</v>
      </c>
      <c r="H42" s="94"/>
      <c r="I42" s="182">
        <v>176379</v>
      </c>
      <c r="J42" s="43">
        <f>SUM(D42:H42)</f>
        <v>255317</v>
      </c>
      <c r="K42" s="77">
        <v>84972</v>
      </c>
      <c r="L42" s="279">
        <f t="shared" si="5"/>
        <v>2.0047</v>
      </c>
      <c r="M42" s="87" t="s">
        <v>88</v>
      </c>
    </row>
    <row r="43" spans="1:13" ht="12" customHeight="1">
      <c r="A43" s="91" t="s">
        <v>195</v>
      </c>
      <c r="B43" s="92"/>
      <c r="C43" s="93" t="s">
        <v>117</v>
      </c>
      <c r="D43" s="94"/>
      <c r="E43" s="94"/>
      <c r="F43" s="94"/>
      <c r="G43" s="94"/>
      <c r="H43" s="94"/>
      <c r="I43" s="182">
        <v>12000</v>
      </c>
      <c r="J43" s="43">
        <f>ActualTotalInstImpExp</f>
        <v>17987</v>
      </c>
      <c r="K43" s="77">
        <v>10326</v>
      </c>
      <c r="L43" s="279">
        <f t="shared" si="5"/>
        <v>0.7419</v>
      </c>
      <c r="M43" s="87" t="s">
        <v>117</v>
      </c>
    </row>
    <row r="44" spans="1:14" ht="12" customHeight="1">
      <c r="A44" s="270" t="s">
        <v>284</v>
      </c>
      <c r="B44" s="271"/>
      <c r="C44" s="272" t="s">
        <v>140</v>
      </c>
      <c r="D44" s="182">
        <f>TotalSEIP6100</f>
        <v>0</v>
      </c>
      <c r="E44" s="182">
        <f>TotalSEIP6200</f>
        <v>0</v>
      </c>
      <c r="F44" s="182">
        <f>TotalSEIP630064006500</f>
        <v>0</v>
      </c>
      <c r="G44" s="182">
        <f>TotalSEIP6600</f>
        <v>0</v>
      </c>
      <c r="H44" s="182">
        <f>TotalSEIP6800</f>
        <v>0</v>
      </c>
      <c r="I44" s="182">
        <f>[2]!SP1000StruEngImmProj</f>
        <v>0</v>
      </c>
      <c r="J44" s="182">
        <f>SUM(D44:H44)</f>
        <v>0</v>
      </c>
      <c r="K44" s="77">
        <f>[1]!SP1000StruEngImmProj</f>
        <v>0</v>
      </c>
      <c r="L44" s="279">
        <f t="shared" si="5"/>
        <v>0</v>
      </c>
      <c r="M44" s="260" t="s">
        <v>140</v>
      </c>
      <c r="N44" s="47"/>
    </row>
    <row r="45" spans="1:14" ht="12" customHeight="1">
      <c r="A45" s="270" t="s">
        <v>285</v>
      </c>
      <c r="B45" s="271"/>
      <c r="C45" s="272" t="s">
        <v>182</v>
      </c>
      <c r="D45" s="182">
        <f>TotalCIP6100</f>
        <v>0</v>
      </c>
      <c r="E45" s="182">
        <f>TotalCIP6200</f>
        <v>0</v>
      </c>
      <c r="F45" s="182">
        <f>TotalCIP630064006500</f>
        <v>0</v>
      </c>
      <c r="G45" s="182">
        <f>TotalCIP6600</f>
        <v>0</v>
      </c>
      <c r="H45" s="182">
        <f>TotalCIP6800</f>
        <v>0</v>
      </c>
      <c r="I45" s="182">
        <f>[2]!SP1000CompInstrProj</f>
        <v>0</v>
      </c>
      <c r="J45" s="182">
        <f>SUM(D45:H45)</f>
        <v>0</v>
      </c>
      <c r="K45" s="77">
        <f>[1]!SP1000CompInstrProj</f>
        <v>0</v>
      </c>
      <c r="L45" s="279">
        <f t="shared" si="5"/>
        <v>0</v>
      </c>
      <c r="M45" s="260" t="s">
        <v>182</v>
      </c>
      <c r="N45" s="47"/>
    </row>
    <row r="46" spans="1:14" ht="12" customHeight="1">
      <c r="A46" s="450" t="s">
        <v>494</v>
      </c>
      <c r="B46" s="451"/>
      <c r="C46" s="272" t="s">
        <v>196</v>
      </c>
      <c r="D46" s="276"/>
      <c r="E46" s="276"/>
      <c r="F46" s="276"/>
      <c r="G46" s="276"/>
      <c r="H46" s="276"/>
      <c r="I46" s="182">
        <v>62000</v>
      </c>
      <c r="J46" s="95">
        <f>ActualTotalFederalAndStateProjects</f>
        <v>65768</v>
      </c>
      <c r="K46" s="77">
        <v>61678</v>
      </c>
      <c r="L46" s="279">
        <f t="shared" si="5"/>
        <v>0.0663</v>
      </c>
      <c r="M46" s="260" t="s">
        <v>196</v>
      </c>
      <c r="N46" s="47"/>
    </row>
    <row r="47" spans="1:14" ht="10.5" customHeight="1">
      <c r="A47" s="270" t="s">
        <v>438</v>
      </c>
      <c r="B47" s="271"/>
      <c r="C47" s="272" t="s">
        <v>232</v>
      </c>
      <c r="D47" s="276"/>
      <c r="E47" s="276"/>
      <c r="F47" s="276"/>
      <c r="G47" s="276"/>
      <c r="H47" s="276"/>
      <c r="I47" s="182">
        <f>SUM(I41:I46)</f>
        <v>2129137</v>
      </c>
      <c r="J47" s="95">
        <f>SUM(J41:J46)</f>
        <v>3235984</v>
      </c>
      <c r="K47" s="77">
        <f>SUM(K41:K46)</f>
        <v>1895929</v>
      </c>
      <c r="L47" s="279">
        <f t="shared" si="5"/>
        <v>0.7068</v>
      </c>
      <c r="M47" s="260" t="s">
        <v>232</v>
      </c>
      <c r="N47" s="47"/>
    </row>
    <row r="48" spans="1:14" ht="12" customHeight="1">
      <c r="A48" s="273"/>
      <c r="B48" s="47"/>
      <c r="C48" s="47"/>
      <c r="D48" s="47"/>
      <c r="E48" s="47"/>
      <c r="F48" s="47"/>
      <c r="G48" s="47"/>
      <c r="H48" s="47"/>
      <c r="I48" s="47"/>
      <c r="J48" s="47"/>
      <c r="K48" s="47"/>
      <c r="L48" s="47"/>
      <c r="M48" s="47"/>
      <c r="N48" s="47"/>
    </row>
    <row r="49" ht="12" customHeight="1"/>
    <row r="50" ht="12" customHeight="1"/>
    <row r="51" ht="12" customHeight="1"/>
    <row r="52" ht="12" customHeight="1"/>
    <row r="53" ht="12" customHeight="1"/>
    <row r="54" ht="12" customHeight="1"/>
    <row r="55" ht="12" customHeight="1"/>
    <row r="56" ht="12" customHeight="1"/>
    <row r="57" ht="12" customHeight="1"/>
    <row r="58" ht="12" customHeight="1"/>
  </sheetData>
  <sheetProtection formatCells="0" formatColumns="0" formatRows="0"/>
  <mergeCells count="19">
    <mergeCell ref="K25:K26"/>
    <mergeCell ref="J25:J26"/>
    <mergeCell ref="I25:I26"/>
    <mergeCell ref="J6:J7"/>
    <mergeCell ref="J8:J9"/>
    <mergeCell ref="I23:I24"/>
    <mergeCell ref="J23:J24"/>
    <mergeCell ref="I6:I7"/>
    <mergeCell ref="I8:I9"/>
    <mergeCell ref="B1:C1"/>
    <mergeCell ref="L3:L5"/>
    <mergeCell ref="I3:K3"/>
    <mergeCell ref="L23:L24"/>
    <mergeCell ref="L25:L26"/>
    <mergeCell ref="L6:L7"/>
    <mergeCell ref="L8:L9"/>
    <mergeCell ref="K6:K7"/>
    <mergeCell ref="K8:K9"/>
    <mergeCell ref="K23:K24"/>
  </mergeCells>
  <hyperlinks>
    <hyperlink ref="A4" location="ExpensesPage2" display="Expenses"/>
    <hyperlink ref="A46:B46" location="FederalAndStateProjectsPage2" display="Federal and State Projects (from page 9, line 30)"/>
  </hyperlinks>
  <printOptions horizontalCentered="1"/>
  <pageMargins left="1" right="0.25" top="0" bottom="0" header="0" footer="0.15"/>
  <pageSetup fitToHeight="1" fitToWidth="1" horizontalDpi="600" verticalDpi="600" orientation="landscape" scale="78" r:id="rId2"/>
  <headerFooter>
    <oddFooter>&amp;LRev. 8/18&amp;CFY 2018&amp;RPage 2 of 10</oddFooter>
  </headerFooter>
  <drawing r:id="rId1"/>
</worksheet>
</file>

<file path=xl/worksheets/sheet4.xml><?xml version="1.0" encoding="utf-8"?>
<worksheet xmlns="http://schemas.openxmlformats.org/spreadsheetml/2006/main" xmlns:r="http://schemas.openxmlformats.org/officeDocument/2006/relationships">
  <dimension ref="A1:M50"/>
  <sheetViews>
    <sheetView showGridLines="0" workbookViewId="0" topLeftCell="A23">
      <selection activeCell="G43" sqref="G43"/>
    </sheetView>
  </sheetViews>
  <sheetFormatPr defaultColWidth="10.66015625" defaultRowHeight="12.75" customHeight="1"/>
  <cols>
    <col min="1" max="1" width="1.83203125" style="99" customWidth="1"/>
    <col min="2" max="2" width="2" style="99" customWidth="1"/>
    <col min="3" max="3" width="21" style="99" customWidth="1"/>
    <col min="4" max="4" width="33.5" style="99" customWidth="1"/>
    <col min="5" max="5" width="4.5" style="99" customWidth="1"/>
    <col min="6" max="13" width="16" style="99" customWidth="1"/>
    <col min="14" max="14" width="4.5" style="99" customWidth="1"/>
    <col min="15" max="16384" width="10.66015625" style="99" customWidth="1"/>
  </cols>
  <sheetData>
    <row r="1" spans="1:11" ht="12.75" customHeight="1">
      <c r="A1" s="98" t="s">
        <v>0</v>
      </c>
      <c r="D1" s="100" t="str">
        <f>'Cover Page'!D1</f>
        <v>NORTH STAR CHARTER SCHOOL, INC.</v>
      </c>
      <c r="E1" s="101"/>
      <c r="F1" s="103" t="s">
        <v>141</v>
      </c>
      <c r="G1" s="100" t="str">
        <f>'Cover Page'!M1</f>
        <v>MARICOPA</v>
      </c>
      <c r="H1" s="104"/>
      <c r="I1" s="103" t="s">
        <v>138</v>
      </c>
      <c r="J1" s="105" t="str">
        <f>'Cover Page'!R1</f>
        <v>078945000</v>
      </c>
      <c r="K1" s="104"/>
    </row>
    <row r="2" spans="1:13" ht="12.75" customHeight="1">
      <c r="A2" s="106"/>
      <c r="B2" s="106"/>
      <c r="C2" s="106"/>
      <c r="D2" s="106"/>
      <c r="E2" s="106"/>
      <c r="F2" s="106"/>
      <c r="G2" s="106"/>
      <c r="H2" s="106"/>
      <c r="I2" s="106"/>
      <c r="J2" s="107"/>
      <c r="K2" s="107"/>
      <c r="L2" s="107"/>
      <c r="M2" s="107"/>
    </row>
    <row r="3" spans="1:13" ht="12.75" customHeight="1">
      <c r="A3" s="106"/>
      <c r="B3" s="106"/>
      <c r="C3" s="106"/>
      <c r="D3" s="106"/>
      <c r="E3" s="106"/>
      <c r="F3" s="106"/>
      <c r="G3" s="106"/>
      <c r="H3" s="106"/>
      <c r="I3" s="106"/>
      <c r="J3" s="107"/>
      <c r="K3" s="107"/>
      <c r="L3" s="107"/>
      <c r="M3" s="107"/>
    </row>
    <row r="4" spans="1:12" ht="12.75" customHeight="1">
      <c r="A4" s="108"/>
      <c r="B4" s="109"/>
      <c r="C4" s="109"/>
      <c r="D4" s="109"/>
      <c r="E4" s="110"/>
      <c r="F4" s="111"/>
      <c r="G4" s="112" t="s">
        <v>142</v>
      </c>
      <c r="H4" s="586" t="s">
        <v>143</v>
      </c>
      <c r="I4" s="587"/>
      <c r="J4" s="107"/>
      <c r="K4" s="107"/>
      <c r="L4" s="107"/>
    </row>
    <row r="5" spans="1:9" ht="12.75" customHeight="1">
      <c r="A5" s="113" t="s">
        <v>113</v>
      </c>
      <c r="B5" s="107"/>
      <c r="C5" s="107"/>
      <c r="D5" s="107"/>
      <c r="E5" s="114"/>
      <c r="F5" s="115" t="s">
        <v>144</v>
      </c>
      <c r="G5" s="116" t="s">
        <v>145</v>
      </c>
      <c r="H5" s="115"/>
      <c r="I5" s="115"/>
    </row>
    <row r="6" spans="1:9" ht="12" customHeight="1">
      <c r="A6" s="117"/>
      <c r="B6" s="118"/>
      <c r="C6" s="118"/>
      <c r="D6" s="118"/>
      <c r="E6" s="119"/>
      <c r="F6" s="120">
        <v>6100</v>
      </c>
      <c r="G6" s="121">
        <v>6200</v>
      </c>
      <c r="H6" s="120" t="s">
        <v>162</v>
      </c>
      <c r="I6" s="120" t="s">
        <v>163</v>
      </c>
    </row>
    <row r="7" spans="1:11" ht="12.75" customHeight="1">
      <c r="A7" s="122" t="s">
        <v>146</v>
      </c>
      <c r="B7" s="107"/>
      <c r="C7" s="107"/>
      <c r="D7" s="107"/>
      <c r="E7" s="107"/>
      <c r="F7" s="341"/>
      <c r="G7" s="341"/>
      <c r="H7" s="583">
        <v>35276</v>
      </c>
      <c r="I7" s="585">
        <f>SUM(F9:G9)</f>
        <v>51063</v>
      </c>
      <c r="J7" s="74"/>
      <c r="K7" s="74"/>
    </row>
    <row r="8" spans="1:11" ht="12.75" customHeight="1">
      <c r="A8" s="123"/>
      <c r="B8" s="107" t="s">
        <v>36</v>
      </c>
      <c r="C8" s="107"/>
      <c r="D8" s="107"/>
      <c r="E8" s="124"/>
      <c r="F8" s="352"/>
      <c r="G8" s="352"/>
      <c r="H8" s="583"/>
      <c r="I8" s="583"/>
      <c r="J8" s="74"/>
      <c r="K8" s="74"/>
    </row>
    <row r="9" spans="1:11" ht="12.75" customHeight="1">
      <c r="A9" s="123"/>
      <c r="B9" s="107"/>
      <c r="C9" s="107" t="s">
        <v>201</v>
      </c>
      <c r="D9" s="107"/>
      <c r="E9" s="124">
        <v>1</v>
      </c>
      <c r="F9" s="125">
        <v>50948</v>
      </c>
      <c r="G9" s="125">
        <v>115</v>
      </c>
      <c r="H9" s="584"/>
      <c r="I9" s="584"/>
      <c r="J9" s="126" t="s">
        <v>6</v>
      </c>
      <c r="K9" s="74"/>
    </row>
    <row r="10" spans="1:11" ht="12.75" customHeight="1">
      <c r="A10" s="123"/>
      <c r="B10" s="107"/>
      <c r="C10" s="107" t="s">
        <v>147</v>
      </c>
      <c r="D10" s="107"/>
      <c r="E10" s="124">
        <v>2</v>
      </c>
      <c r="F10" s="125"/>
      <c r="G10" s="125"/>
      <c r="H10" s="102">
        <f>[2]!CSP1011P100F2100</f>
        <v>0</v>
      </c>
      <c r="I10" s="102">
        <f>SUM(F10:G10)</f>
        <v>0</v>
      </c>
      <c r="J10" s="126" t="s">
        <v>7</v>
      </c>
      <c r="K10" s="74"/>
    </row>
    <row r="11" spans="1:11" ht="12.75" customHeight="1">
      <c r="A11" s="123"/>
      <c r="B11" s="107"/>
      <c r="C11" s="107" t="s">
        <v>242</v>
      </c>
      <c r="D11" s="107"/>
      <c r="E11" s="124">
        <v>3</v>
      </c>
      <c r="F11" s="125"/>
      <c r="G11" s="125"/>
      <c r="H11" s="102">
        <f>[2]!CSP1011P100F2200</f>
        <v>0</v>
      </c>
      <c r="I11" s="102">
        <f>SUM(F11:G11)</f>
        <v>0</v>
      </c>
      <c r="J11" s="126" t="s">
        <v>8</v>
      </c>
      <c r="K11" s="74"/>
    </row>
    <row r="12" spans="1:10" ht="12.75" customHeight="1">
      <c r="A12" s="117"/>
      <c r="B12" s="118" t="s">
        <v>148</v>
      </c>
      <c r="C12" s="118"/>
      <c r="D12" s="118"/>
      <c r="E12" s="127">
        <v>4</v>
      </c>
      <c r="F12" s="128">
        <f>SUM(F7:F11)</f>
        <v>50948</v>
      </c>
      <c r="G12" s="128">
        <f>SUM(G7:G11)</f>
        <v>115</v>
      </c>
      <c r="H12" s="102">
        <f>SUM(H7:H11)</f>
        <v>35276</v>
      </c>
      <c r="I12" s="102">
        <f>SUM(I7:I11)</f>
        <v>51063</v>
      </c>
      <c r="J12" s="129" t="s">
        <v>9</v>
      </c>
    </row>
    <row r="13" spans="1:11" ht="12.75" customHeight="1">
      <c r="A13" s="123"/>
      <c r="B13" s="107" t="s">
        <v>42</v>
      </c>
      <c r="C13" s="107"/>
      <c r="D13" s="107"/>
      <c r="E13" s="124"/>
      <c r="F13" s="352"/>
      <c r="G13" s="352"/>
      <c r="H13" s="583">
        <f>[2]!CSP1011P200F1000</f>
        <v>0</v>
      </c>
      <c r="I13" s="585">
        <f>SUM(F14:G14)</f>
        <v>0</v>
      </c>
      <c r="J13" s="126"/>
      <c r="K13" s="74"/>
    </row>
    <row r="14" spans="1:11" ht="12.75" customHeight="1">
      <c r="A14" s="123"/>
      <c r="B14" s="107"/>
      <c r="C14" s="107" t="s">
        <v>201</v>
      </c>
      <c r="D14" s="107"/>
      <c r="E14" s="124">
        <v>5</v>
      </c>
      <c r="F14" s="353"/>
      <c r="G14" s="137"/>
      <c r="H14" s="584"/>
      <c r="I14" s="584"/>
      <c r="J14" s="126" t="s">
        <v>10</v>
      </c>
      <c r="K14" s="74"/>
    </row>
    <row r="15" spans="1:11" ht="12.75" customHeight="1">
      <c r="A15" s="123"/>
      <c r="B15" s="107"/>
      <c r="C15" s="107" t="s">
        <v>147</v>
      </c>
      <c r="D15" s="107"/>
      <c r="E15" s="124">
        <v>6</v>
      </c>
      <c r="F15" s="130"/>
      <c r="G15" s="131"/>
      <c r="H15" s="132">
        <f>[2]!CSP1011P200F2100</f>
        <v>0</v>
      </c>
      <c r="I15" s="132">
        <f>SUM(F15:G15)</f>
        <v>0</v>
      </c>
      <c r="J15" s="126" t="s">
        <v>11</v>
      </c>
      <c r="K15" s="74"/>
    </row>
    <row r="16" spans="1:11" ht="12.75" customHeight="1">
      <c r="A16" s="123"/>
      <c r="B16" s="107"/>
      <c r="C16" s="107" t="s">
        <v>242</v>
      </c>
      <c r="D16" s="107"/>
      <c r="E16" s="124">
        <v>7</v>
      </c>
      <c r="F16" s="130"/>
      <c r="G16" s="131"/>
      <c r="H16" s="132">
        <f>[2]!CSP1011P200F2200</f>
        <v>0</v>
      </c>
      <c r="I16" s="132">
        <f>SUM(F16:G16)</f>
        <v>0</v>
      </c>
      <c r="J16" s="126" t="s">
        <v>12</v>
      </c>
      <c r="K16" s="74"/>
    </row>
    <row r="17" spans="1:11" ht="12.75" customHeight="1">
      <c r="A17" s="117"/>
      <c r="B17" s="118" t="s">
        <v>149</v>
      </c>
      <c r="C17" s="118"/>
      <c r="D17" s="118"/>
      <c r="E17" s="127">
        <v>8</v>
      </c>
      <c r="F17" s="133">
        <f>SUM(F13:F16)</f>
        <v>0</v>
      </c>
      <c r="G17" s="133">
        <f>SUM(G13:G16)</f>
        <v>0</v>
      </c>
      <c r="H17" s="132">
        <f>SUM(H13:H16)</f>
        <v>0</v>
      </c>
      <c r="I17" s="132">
        <f>SUM(I13:I16)</f>
        <v>0</v>
      </c>
      <c r="J17" s="126" t="s">
        <v>14</v>
      </c>
      <c r="K17" s="74"/>
    </row>
    <row r="18" spans="1:10" ht="12.75" customHeight="1">
      <c r="A18" s="123"/>
      <c r="B18" s="107" t="s">
        <v>164</v>
      </c>
      <c r="C18" s="107"/>
      <c r="D18" s="134" t="s">
        <v>165</v>
      </c>
      <c r="E18" s="124"/>
      <c r="F18" s="352"/>
      <c r="G18" s="352"/>
      <c r="H18" s="583">
        <f>[2]!CSP1011POtherF1000</f>
        <v>0</v>
      </c>
      <c r="I18" s="585">
        <f>SUM(F19:G19)</f>
        <v>0</v>
      </c>
      <c r="J18" s="129"/>
    </row>
    <row r="19" spans="1:11" ht="12.75" customHeight="1">
      <c r="A19" s="123"/>
      <c r="B19" s="107"/>
      <c r="C19" s="107" t="s">
        <v>201</v>
      </c>
      <c r="D19" s="107"/>
      <c r="E19" s="124">
        <v>9</v>
      </c>
      <c r="F19" s="353"/>
      <c r="G19" s="137"/>
      <c r="H19" s="584"/>
      <c r="I19" s="584"/>
      <c r="J19" s="126" t="s">
        <v>15</v>
      </c>
      <c r="K19" s="74"/>
    </row>
    <row r="20" spans="1:11" ht="12.75" customHeight="1">
      <c r="A20" s="123"/>
      <c r="B20" s="107"/>
      <c r="C20" s="107" t="s">
        <v>147</v>
      </c>
      <c r="D20" s="107"/>
      <c r="E20" s="124">
        <v>10</v>
      </c>
      <c r="F20" s="130"/>
      <c r="G20" s="131"/>
      <c r="H20" s="132">
        <f>[2]!CSP1011POtherF2100</f>
        <v>0</v>
      </c>
      <c r="I20" s="132">
        <f>SUM(F20:G20)</f>
        <v>0</v>
      </c>
      <c r="J20" s="126" t="s">
        <v>16</v>
      </c>
      <c r="K20" s="74"/>
    </row>
    <row r="21" spans="1:11" ht="12.75" customHeight="1">
      <c r="A21" s="123"/>
      <c r="B21" s="107"/>
      <c r="C21" s="107" t="s">
        <v>242</v>
      </c>
      <c r="D21" s="107"/>
      <c r="E21" s="124">
        <v>11</v>
      </c>
      <c r="F21" s="130"/>
      <c r="G21" s="131"/>
      <c r="H21" s="132">
        <f>[2]!CSP1011POtherF2200</f>
        <v>0</v>
      </c>
      <c r="I21" s="132">
        <f>SUM(F21:G21)</f>
        <v>0</v>
      </c>
      <c r="J21" s="126" t="s">
        <v>17</v>
      </c>
      <c r="K21" s="74"/>
    </row>
    <row r="22" spans="1:11" ht="12.75" customHeight="1">
      <c r="A22" s="117"/>
      <c r="B22" s="118" t="s">
        <v>150</v>
      </c>
      <c r="C22" s="118"/>
      <c r="D22" s="118"/>
      <c r="E22" s="127">
        <v>12</v>
      </c>
      <c r="F22" s="133">
        <f>SUM(F18:F21)</f>
        <v>0</v>
      </c>
      <c r="G22" s="133">
        <f>SUM(G18:G21)</f>
        <v>0</v>
      </c>
      <c r="H22" s="132">
        <f>SUM(H18:H21)</f>
        <v>0</v>
      </c>
      <c r="I22" s="132">
        <f>SUM(I18:I21)</f>
        <v>0</v>
      </c>
      <c r="J22" s="126" t="s">
        <v>18</v>
      </c>
      <c r="K22" s="74"/>
    </row>
    <row r="23" spans="1:11" ht="12.75" customHeight="1">
      <c r="A23" s="117" t="s">
        <v>151</v>
      </c>
      <c r="B23" s="118"/>
      <c r="C23" s="118"/>
      <c r="D23" s="118"/>
      <c r="E23" s="135">
        <v>13</v>
      </c>
      <c r="F23" s="133">
        <f>F12+F17+F22</f>
        <v>50948</v>
      </c>
      <c r="G23" s="133">
        <f>G12+G17+G22</f>
        <v>115</v>
      </c>
      <c r="H23" s="133">
        <f>H12+H17+H22</f>
        <v>35276</v>
      </c>
      <c r="I23" s="133">
        <f>I12+I17+I22</f>
        <v>51063</v>
      </c>
      <c r="J23" s="126" t="s">
        <v>20</v>
      </c>
      <c r="K23" s="74"/>
    </row>
    <row r="24" spans="1:11" ht="12" customHeight="1">
      <c r="A24" s="122" t="s">
        <v>152</v>
      </c>
      <c r="B24" s="107"/>
      <c r="C24" s="107"/>
      <c r="D24" s="107"/>
      <c r="E24" s="107"/>
      <c r="F24" s="341"/>
      <c r="G24" s="341"/>
      <c r="H24" s="585">
        <v>70552</v>
      </c>
      <c r="I24" s="583">
        <f>SUM(F26:G26)</f>
        <v>102127</v>
      </c>
      <c r="J24" s="126"/>
      <c r="K24" s="74"/>
    </row>
    <row r="25" spans="1:11" ht="12" customHeight="1">
      <c r="A25" s="123"/>
      <c r="B25" s="107" t="s">
        <v>36</v>
      </c>
      <c r="C25" s="107"/>
      <c r="D25" s="107"/>
      <c r="E25" s="124"/>
      <c r="F25" s="352"/>
      <c r="G25" s="352"/>
      <c r="H25" s="583"/>
      <c r="I25" s="583"/>
      <c r="J25" s="126"/>
      <c r="K25" s="74"/>
    </row>
    <row r="26" spans="1:11" ht="12.75">
      <c r="A26" s="123"/>
      <c r="B26" s="107"/>
      <c r="C26" s="107" t="s">
        <v>201</v>
      </c>
      <c r="D26" s="107"/>
      <c r="E26" s="124">
        <v>14</v>
      </c>
      <c r="F26" s="137">
        <v>87503</v>
      </c>
      <c r="G26" s="137">
        <v>14624</v>
      </c>
      <c r="H26" s="584"/>
      <c r="I26" s="584"/>
      <c r="J26" s="126" t="s">
        <v>21</v>
      </c>
      <c r="K26" s="74"/>
    </row>
    <row r="27" spans="1:11" ht="12" customHeight="1">
      <c r="A27" s="123"/>
      <c r="B27" s="107"/>
      <c r="C27" s="107" t="s">
        <v>147</v>
      </c>
      <c r="D27" s="107"/>
      <c r="E27" s="124">
        <v>15</v>
      </c>
      <c r="F27" s="137"/>
      <c r="G27" s="137"/>
      <c r="H27" s="132">
        <f>[2]!CSP1012P100F2100</f>
        <v>0</v>
      </c>
      <c r="I27" s="132">
        <f>SUM(F27:G27)</f>
        <v>0</v>
      </c>
      <c r="J27" s="126" t="s">
        <v>22</v>
      </c>
      <c r="K27" s="74"/>
    </row>
    <row r="28" spans="1:11" ht="12.75" customHeight="1">
      <c r="A28" s="123"/>
      <c r="B28" s="107"/>
      <c r="C28" s="107" t="s">
        <v>242</v>
      </c>
      <c r="D28" s="107"/>
      <c r="E28" s="124">
        <v>16</v>
      </c>
      <c r="F28" s="137"/>
      <c r="G28" s="137"/>
      <c r="H28" s="132">
        <f>[2]!CSP1012P100F2200</f>
        <v>0</v>
      </c>
      <c r="I28" s="132">
        <f>SUM(F28:G28)</f>
        <v>0</v>
      </c>
      <c r="J28" s="126" t="s">
        <v>23</v>
      </c>
      <c r="K28" s="74"/>
    </row>
    <row r="29" spans="1:10" ht="12.75">
      <c r="A29" s="117"/>
      <c r="B29" s="118" t="s">
        <v>153</v>
      </c>
      <c r="C29" s="118"/>
      <c r="D29" s="118"/>
      <c r="E29" s="127">
        <v>17</v>
      </c>
      <c r="F29" s="138">
        <f>SUM(F24:F28)</f>
        <v>87503</v>
      </c>
      <c r="G29" s="138">
        <f>SUM(G24:G28)</f>
        <v>14624</v>
      </c>
      <c r="H29" s="132">
        <f>SUM(H24:H28)</f>
        <v>70552</v>
      </c>
      <c r="I29" s="132">
        <f>SUM(I24:I28)</f>
        <v>102127</v>
      </c>
      <c r="J29" s="129" t="s">
        <v>24</v>
      </c>
    </row>
    <row r="30" spans="1:11" ht="12" customHeight="1">
      <c r="A30" s="123"/>
      <c r="B30" s="107" t="s">
        <v>42</v>
      </c>
      <c r="C30" s="107"/>
      <c r="D30" s="107"/>
      <c r="E30" s="124"/>
      <c r="F30" s="352"/>
      <c r="G30" s="352"/>
      <c r="H30" s="583">
        <f>[2]!CSP1012P200F1000</f>
        <v>0</v>
      </c>
      <c r="I30" s="585">
        <f>SUM(F31:G31)</f>
        <v>0</v>
      </c>
      <c r="J30" s="126"/>
      <c r="K30" s="74"/>
    </row>
    <row r="31" spans="1:11" ht="12" customHeight="1">
      <c r="A31" s="123"/>
      <c r="B31" s="107"/>
      <c r="C31" s="107" t="s">
        <v>201</v>
      </c>
      <c r="D31" s="107"/>
      <c r="E31" s="124">
        <v>18</v>
      </c>
      <c r="F31" s="353"/>
      <c r="G31" s="137"/>
      <c r="H31" s="584"/>
      <c r="I31" s="584"/>
      <c r="J31" s="126" t="s">
        <v>26</v>
      </c>
      <c r="K31" s="74"/>
    </row>
    <row r="32" spans="1:11" ht="12" customHeight="1">
      <c r="A32" s="123"/>
      <c r="B32" s="107"/>
      <c r="C32" s="107" t="s">
        <v>147</v>
      </c>
      <c r="D32" s="107"/>
      <c r="E32" s="124">
        <v>19</v>
      </c>
      <c r="F32" s="130"/>
      <c r="G32" s="131"/>
      <c r="H32" s="132">
        <f>[2]!CSP1012P200F2100</f>
        <v>0</v>
      </c>
      <c r="I32" s="132">
        <f>SUM(F32:G32)</f>
        <v>0</v>
      </c>
      <c r="J32" s="126" t="s">
        <v>27</v>
      </c>
      <c r="K32" s="74"/>
    </row>
    <row r="33" spans="1:11" ht="12" customHeight="1">
      <c r="A33" s="123"/>
      <c r="B33" s="107"/>
      <c r="C33" s="107" t="s">
        <v>242</v>
      </c>
      <c r="D33" s="107"/>
      <c r="E33" s="124">
        <v>20</v>
      </c>
      <c r="F33" s="130"/>
      <c r="G33" s="131"/>
      <c r="H33" s="132">
        <f>[2]!CSP1012P200F2200</f>
        <v>0</v>
      </c>
      <c r="I33" s="132">
        <f>SUM(F33:G33)</f>
        <v>0</v>
      </c>
      <c r="J33" s="126" t="s">
        <v>28</v>
      </c>
      <c r="K33" s="74"/>
    </row>
    <row r="34" spans="1:11" ht="12.75">
      <c r="A34" s="117"/>
      <c r="B34" s="118" t="s">
        <v>154</v>
      </c>
      <c r="C34" s="118"/>
      <c r="D34" s="118"/>
      <c r="E34" s="127">
        <v>21</v>
      </c>
      <c r="F34" s="133">
        <f>SUM(F30:F33)</f>
        <v>0</v>
      </c>
      <c r="G34" s="132">
        <f>SUM(G30:G33)</f>
        <v>0</v>
      </c>
      <c r="H34" s="132">
        <f>SUM(H30:H33)</f>
        <v>0</v>
      </c>
      <c r="I34" s="132">
        <f>SUM(I30:I33)</f>
        <v>0</v>
      </c>
      <c r="J34" s="126" t="s">
        <v>29</v>
      </c>
      <c r="K34" s="74"/>
    </row>
    <row r="35" spans="1:10" ht="12" customHeight="1">
      <c r="A35" s="123"/>
      <c r="B35" s="107" t="s">
        <v>164</v>
      </c>
      <c r="C35" s="107"/>
      <c r="D35" s="134" t="s">
        <v>165</v>
      </c>
      <c r="E35" s="124"/>
      <c r="F35" s="352"/>
      <c r="G35" s="352"/>
      <c r="H35" s="583">
        <f>[2]!CSP1012POtherF1000</f>
        <v>0</v>
      </c>
      <c r="I35" s="585">
        <f>SUM(F36:G36)</f>
        <v>0</v>
      </c>
      <c r="J35" s="129"/>
    </row>
    <row r="36" spans="1:11" ht="12" customHeight="1">
      <c r="A36" s="123"/>
      <c r="B36" s="107"/>
      <c r="C36" s="107" t="s">
        <v>201</v>
      </c>
      <c r="D36" s="107"/>
      <c r="E36" s="124">
        <v>22</v>
      </c>
      <c r="F36" s="340"/>
      <c r="G36" s="137"/>
      <c r="H36" s="584"/>
      <c r="I36" s="584"/>
      <c r="J36" s="126" t="s">
        <v>30</v>
      </c>
      <c r="K36" s="74"/>
    </row>
    <row r="37" spans="1:11" ht="12" customHeight="1">
      <c r="A37" s="123"/>
      <c r="B37" s="107"/>
      <c r="C37" s="107" t="s">
        <v>147</v>
      </c>
      <c r="D37" s="107"/>
      <c r="E37" s="124">
        <v>23</v>
      </c>
      <c r="F37" s="130"/>
      <c r="G37" s="131"/>
      <c r="H37" s="132">
        <f>[2]!CSP1012POtherF2100</f>
        <v>0</v>
      </c>
      <c r="I37" s="132">
        <f>SUM(F37:G37)</f>
        <v>0</v>
      </c>
      <c r="J37" s="126" t="s">
        <v>31</v>
      </c>
      <c r="K37" s="74"/>
    </row>
    <row r="38" spans="1:11" ht="12" customHeight="1">
      <c r="A38" s="123"/>
      <c r="B38" s="107"/>
      <c r="C38" s="107" t="s">
        <v>242</v>
      </c>
      <c r="D38" s="107"/>
      <c r="E38" s="124">
        <v>24</v>
      </c>
      <c r="F38" s="130"/>
      <c r="G38" s="131"/>
      <c r="H38" s="132">
        <f>[2]!CSP1012POtherF2200</f>
        <v>0</v>
      </c>
      <c r="I38" s="132">
        <f>SUM(F38:G38)</f>
        <v>0</v>
      </c>
      <c r="J38" s="126" t="s">
        <v>32</v>
      </c>
      <c r="K38" s="74"/>
    </row>
    <row r="39" spans="1:11" ht="12" customHeight="1">
      <c r="A39" s="117"/>
      <c r="B39" s="118" t="s">
        <v>155</v>
      </c>
      <c r="C39" s="118"/>
      <c r="D39" s="118"/>
      <c r="E39" s="127">
        <v>25</v>
      </c>
      <c r="F39" s="133">
        <f>SUM(F35:F38)</f>
        <v>0</v>
      </c>
      <c r="G39" s="132">
        <f>SUM(G35:G38)</f>
        <v>0</v>
      </c>
      <c r="H39" s="132">
        <f>SUM(H35:H38)</f>
        <v>0</v>
      </c>
      <c r="I39" s="132">
        <f>SUM(I35:I38)</f>
        <v>0</v>
      </c>
      <c r="J39" s="126" t="s">
        <v>77</v>
      </c>
      <c r="K39" s="74"/>
    </row>
    <row r="40" spans="1:11" ht="12" customHeight="1">
      <c r="A40" s="117" t="s">
        <v>156</v>
      </c>
      <c r="B40" s="118"/>
      <c r="C40" s="118"/>
      <c r="D40" s="118"/>
      <c r="E40" s="135">
        <v>26</v>
      </c>
      <c r="F40" s="139">
        <f>F29+F34+F39</f>
        <v>87503</v>
      </c>
      <c r="G40" s="139">
        <f>G29+G34+G39</f>
        <v>14624</v>
      </c>
      <c r="H40" s="139">
        <f>H29+H34+H39</f>
        <v>70552</v>
      </c>
      <c r="I40" s="139">
        <f>I29+I34+I39</f>
        <v>102127</v>
      </c>
      <c r="J40" s="126" t="s">
        <v>78</v>
      </c>
      <c r="K40" s="74"/>
    </row>
    <row r="41" spans="1:13" ht="12" customHeight="1">
      <c r="A41" s="107"/>
      <c r="B41" s="107"/>
      <c r="C41" s="107"/>
      <c r="D41" s="107"/>
      <c r="E41" s="136"/>
      <c r="F41" s="140"/>
      <c r="G41" s="140"/>
      <c r="H41" s="140"/>
      <c r="I41" s="140"/>
      <c r="K41" s="140"/>
      <c r="L41" s="141"/>
      <c r="M41" s="142"/>
    </row>
    <row r="42" spans="1:13" ht="12" customHeight="1">
      <c r="A42" s="107"/>
      <c r="B42" s="107"/>
      <c r="C42" s="107"/>
      <c r="D42" s="107"/>
      <c r="E42" s="136"/>
      <c r="F42" s="140"/>
      <c r="G42" s="140"/>
      <c r="H42" s="140"/>
      <c r="I42" s="140"/>
      <c r="K42" s="140"/>
      <c r="L42" s="141"/>
      <c r="M42" s="142"/>
    </row>
    <row r="43" spans="1:12" ht="12.75" customHeight="1">
      <c r="A43" s="107"/>
      <c r="B43" s="107"/>
      <c r="C43" s="107"/>
      <c r="D43" s="107"/>
      <c r="E43" s="136"/>
      <c r="F43" s="140"/>
      <c r="G43" s="140"/>
      <c r="H43" s="140"/>
      <c r="I43" s="140"/>
      <c r="J43" s="140"/>
      <c r="K43" s="141"/>
      <c r="L43" s="143"/>
    </row>
    <row r="48" ht="12.75" customHeight="1">
      <c r="A48" s="144">
        <v>1</v>
      </c>
    </row>
    <row r="50" ht="12.75" customHeight="1">
      <c r="C50" s="144"/>
    </row>
  </sheetData>
  <sheetProtection formatCells="0" formatColumns="0" formatRows="0"/>
  <mergeCells count="13">
    <mergeCell ref="H4:I4"/>
    <mergeCell ref="I7:I9"/>
    <mergeCell ref="I13:I14"/>
    <mergeCell ref="I18:I19"/>
    <mergeCell ref="H13:H14"/>
    <mergeCell ref="I35:I36"/>
    <mergeCell ref="I24:I26"/>
    <mergeCell ref="H30:H31"/>
    <mergeCell ref="I30:I31"/>
    <mergeCell ref="H18:H19"/>
    <mergeCell ref="H7:H9"/>
    <mergeCell ref="H35:H36"/>
    <mergeCell ref="H24:H26"/>
  </mergeCells>
  <printOptions horizontalCentered="1"/>
  <pageMargins left="1" right="0.25" top="0.5" bottom="0.25" header="0.5" footer="0.15"/>
  <pageSetup horizontalDpi="300" verticalDpi="300" orientation="landscape" r:id="rId1"/>
  <headerFooter>
    <oddFooter>&amp;LRev. 8/18&amp;CFY 2018&amp;RPage 3 of 10</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M40"/>
  <sheetViews>
    <sheetView showGridLines="0" workbookViewId="0" topLeftCell="A18">
      <selection activeCell="H34" sqref="H34"/>
    </sheetView>
  </sheetViews>
  <sheetFormatPr defaultColWidth="8.83203125" defaultRowHeight="12.75"/>
  <cols>
    <col min="1" max="1" width="1.83203125" style="3" customWidth="1"/>
    <col min="2" max="2" width="2" style="3" customWidth="1"/>
    <col min="3" max="3" width="19.5" style="3" customWidth="1"/>
    <col min="4" max="4" width="29.33203125" style="3" customWidth="1"/>
    <col min="5" max="5" width="3.66015625" style="3" bestFit="1" customWidth="1"/>
    <col min="6" max="6" width="17.33203125" style="3" customWidth="1"/>
    <col min="7" max="7" width="18" style="3" customWidth="1"/>
    <col min="8" max="11" width="17.33203125" style="3" customWidth="1"/>
    <col min="12" max="12" width="3.66015625" style="3" bestFit="1" customWidth="1"/>
    <col min="13" max="16384" width="8.83203125" style="3" customWidth="1"/>
  </cols>
  <sheetData>
    <row r="1" spans="1:12" ht="12.75">
      <c r="A1" s="98" t="s">
        <v>0</v>
      </c>
      <c r="B1" s="99"/>
      <c r="C1" s="99"/>
      <c r="D1" s="610" t="str">
        <f>'Cover Page'!D1</f>
        <v>NORTH STAR CHARTER SCHOOL, INC.</v>
      </c>
      <c r="E1" s="610"/>
      <c r="F1" s="104"/>
      <c r="G1" s="103" t="s">
        <v>141</v>
      </c>
      <c r="H1" s="100" t="str">
        <f>'Cover Page'!M1</f>
        <v>MARICOPA</v>
      </c>
      <c r="J1" s="103" t="s">
        <v>138</v>
      </c>
      <c r="K1" s="614" t="str">
        <f>'Cover Page'!R1</f>
        <v>078945000</v>
      </c>
      <c r="L1" s="614"/>
    </row>
    <row r="2" spans="1:12" ht="12.75">
      <c r="A2" s="106"/>
      <c r="B2" s="106"/>
      <c r="C2" s="106"/>
      <c r="D2" s="106"/>
      <c r="E2" s="106"/>
      <c r="F2" s="106"/>
      <c r="G2" s="106"/>
      <c r="H2" s="106"/>
      <c r="I2" s="106"/>
      <c r="J2" s="107"/>
      <c r="K2" s="107"/>
      <c r="L2" s="107"/>
    </row>
    <row r="3" spans="1:12" ht="12.75">
      <c r="A3" s="106"/>
      <c r="B3" s="106"/>
      <c r="C3" s="106"/>
      <c r="D3" s="106"/>
      <c r="E3" s="106"/>
      <c r="F3" s="106"/>
      <c r="G3" s="106"/>
      <c r="H3" s="106"/>
      <c r="I3" s="106"/>
      <c r="J3" s="107"/>
      <c r="K3" s="107"/>
      <c r="L3" s="107"/>
    </row>
    <row r="4" spans="1:12" ht="12.75">
      <c r="A4" s="608"/>
      <c r="B4" s="608"/>
      <c r="C4" s="608"/>
      <c r="D4" s="608"/>
      <c r="E4" s="608"/>
      <c r="F4" s="608"/>
      <c r="G4" s="608"/>
      <c r="H4" s="608"/>
      <c r="I4" s="609"/>
      <c r="J4" s="609"/>
      <c r="K4" s="609"/>
      <c r="L4" s="107"/>
    </row>
    <row r="5" spans="1:12" ht="12.75">
      <c r="A5" s="145"/>
      <c r="B5" s="146"/>
      <c r="C5" s="146"/>
      <c r="D5" s="146"/>
      <c r="E5" s="147"/>
      <c r="F5" s="148"/>
      <c r="G5" s="148"/>
      <c r="H5" s="611" t="s">
        <v>157</v>
      </c>
      <c r="I5" s="148"/>
      <c r="J5" s="586" t="s">
        <v>143</v>
      </c>
      <c r="K5" s="587"/>
      <c r="L5" s="99"/>
    </row>
    <row r="6" spans="1:12" ht="12.75">
      <c r="A6" s="113" t="s">
        <v>113</v>
      </c>
      <c r="B6" s="107"/>
      <c r="C6" s="107"/>
      <c r="D6" s="107"/>
      <c r="E6" s="114"/>
      <c r="F6" s="115" t="s">
        <v>144</v>
      </c>
      <c r="G6" s="115" t="s">
        <v>158</v>
      </c>
      <c r="H6" s="612"/>
      <c r="I6" s="115" t="s">
        <v>159</v>
      </c>
      <c r="J6" s="115"/>
      <c r="K6" s="115"/>
      <c r="L6" s="99"/>
    </row>
    <row r="7" spans="1:12" ht="12.75">
      <c r="A7" s="117"/>
      <c r="B7" s="118"/>
      <c r="C7" s="118"/>
      <c r="D7" s="118"/>
      <c r="E7" s="119"/>
      <c r="F7" s="120">
        <v>6100</v>
      </c>
      <c r="G7" s="120">
        <v>6200</v>
      </c>
      <c r="H7" s="613"/>
      <c r="I7" s="120">
        <v>6600</v>
      </c>
      <c r="J7" s="120" t="s">
        <v>162</v>
      </c>
      <c r="K7" s="120" t="s">
        <v>163</v>
      </c>
      <c r="L7" s="99"/>
    </row>
    <row r="8" spans="1:12" ht="12.75">
      <c r="A8" s="122" t="s">
        <v>160</v>
      </c>
      <c r="B8" s="107"/>
      <c r="C8" s="107"/>
      <c r="D8" s="107"/>
      <c r="E8" s="136"/>
      <c r="F8" s="342"/>
      <c r="G8" s="342"/>
      <c r="H8" s="342"/>
      <c r="I8" s="342"/>
      <c r="J8" s="595">
        <v>70551</v>
      </c>
      <c r="K8" s="590">
        <f>SUM(F10:I10)</f>
        <v>0</v>
      </c>
      <c r="L8" s="143"/>
    </row>
    <row r="9" spans="1:12" ht="12.75">
      <c r="A9" s="123"/>
      <c r="B9" s="107" t="s">
        <v>36</v>
      </c>
      <c r="C9" s="107"/>
      <c r="D9" s="107"/>
      <c r="E9" s="107"/>
      <c r="F9" s="355"/>
      <c r="G9" s="355"/>
      <c r="H9" s="355"/>
      <c r="I9" s="355"/>
      <c r="J9" s="615"/>
      <c r="K9" s="591"/>
      <c r="L9" s="123"/>
    </row>
    <row r="10" spans="1:12" ht="12.75">
      <c r="A10" s="123"/>
      <c r="B10" s="107"/>
      <c r="C10" s="107" t="s">
        <v>201</v>
      </c>
      <c r="D10" s="107"/>
      <c r="E10" s="124">
        <v>1</v>
      </c>
      <c r="F10" s="354"/>
      <c r="G10" s="354"/>
      <c r="H10" s="354"/>
      <c r="I10" s="354"/>
      <c r="J10" s="596"/>
      <c r="K10" s="592"/>
      <c r="L10" s="150">
        <v>1</v>
      </c>
    </row>
    <row r="11" spans="1:12" ht="12.75">
      <c r="A11" s="232"/>
      <c r="B11" s="230"/>
      <c r="C11" s="230" t="s">
        <v>147</v>
      </c>
      <c r="D11" s="107"/>
      <c r="E11" s="124">
        <v>2</v>
      </c>
      <c r="F11" s="152"/>
      <c r="G11" s="152"/>
      <c r="H11" s="152"/>
      <c r="I11" s="152"/>
      <c r="J11" s="154">
        <f>[2]!CSP1013P100F2100</f>
        <v>0</v>
      </c>
      <c r="K11" s="149">
        <f>SUM(F11:I11)</f>
        <v>0</v>
      </c>
      <c r="L11" s="150">
        <v>2</v>
      </c>
    </row>
    <row r="12" spans="1:12" ht="12.75">
      <c r="A12" s="232"/>
      <c r="B12" s="230"/>
      <c r="C12" s="230" t="s">
        <v>242</v>
      </c>
      <c r="D12" s="107"/>
      <c r="E12" s="124">
        <v>3</v>
      </c>
      <c r="F12" s="152"/>
      <c r="G12" s="152"/>
      <c r="H12" s="152"/>
      <c r="I12" s="152"/>
      <c r="J12" s="184">
        <f>[2]!CSP1013P100F2200</f>
        <v>0</v>
      </c>
      <c r="K12" s="149">
        <f>SUM(F12:I12)</f>
        <v>0</v>
      </c>
      <c r="L12" s="150">
        <v>3</v>
      </c>
    </row>
    <row r="13" spans="1:12" s="47" customFormat="1" ht="12.75">
      <c r="A13" s="232"/>
      <c r="B13" s="231" t="s">
        <v>148</v>
      </c>
      <c r="C13" s="231"/>
      <c r="D13" s="231"/>
      <c r="E13" s="421">
        <v>4</v>
      </c>
      <c r="F13" s="154">
        <f aca="true" t="shared" si="0" ref="F13:K13">SUM(F8:F12)</f>
        <v>0</v>
      </c>
      <c r="G13" s="154">
        <f t="shared" si="0"/>
        <v>0</v>
      </c>
      <c r="H13" s="154">
        <f t="shared" si="0"/>
        <v>0</v>
      </c>
      <c r="I13" s="154">
        <f t="shared" si="0"/>
        <v>0</v>
      </c>
      <c r="J13" s="154">
        <f t="shared" si="0"/>
        <v>70551</v>
      </c>
      <c r="K13" s="154">
        <f t="shared" si="0"/>
        <v>0</v>
      </c>
      <c r="L13" s="214">
        <v>4</v>
      </c>
    </row>
    <row r="14" spans="1:12" ht="12.75">
      <c r="A14" s="145"/>
      <c r="B14" s="230" t="s">
        <v>42</v>
      </c>
      <c r="C14" s="230"/>
      <c r="D14" s="107"/>
      <c r="E14" s="124"/>
      <c r="F14" s="341"/>
      <c r="G14" s="341"/>
      <c r="H14" s="341"/>
      <c r="I14" s="341"/>
      <c r="J14" s="595">
        <f>[2]!CSP1013P200F1000</f>
        <v>0</v>
      </c>
      <c r="K14" s="590">
        <f>SUM(F15:I15)</f>
        <v>0</v>
      </c>
      <c r="L14" s="150"/>
    </row>
    <row r="15" spans="1:12" ht="12.75">
      <c r="A15" s="232"/>
      <c r="B15" s="230"/>
      <c r="C15" s="230" t="s">
        <v>201</v>
      </c>
      <c r="D15" s="107"/>
      <c r="E15" s="124">
        <v>5</v>
      </c>
      <c r="F15" s="125"/>
      <c r="G15" s="125"/>
      <c r="H15" s="125"/>
      <c r="I15" s="125"/>
      <c r="J15" s="596"/>
      <c r="K15" s="592"/>
      <c r="L15" s="150">
        <v>5</v>
      </c>
    </row>
    <row r="16" spans="1:12" ht="12.75">
      <c r="A16" s="232"/>
      <c r="B16" s="230"/>
      <c r="C16" s="230" t="s">
        <v>147</v>
      </c>
      <c r="D16" s="107"/>
      <c r="E16" s="155">
        <v>6</v>
      </c>
      <c r="F16" s="152"/>
      <c r="G16" s="152"/>
      <c r="H16" s="152"/>
      <c r="I16" s="152"/>
      <c r="J16" s="184">
        <f>[2]!CSP1013P200F2100</f>
        <v>0</v>
      </c>
      <c r="K16" s="149">
        <f>SUM(F16:I16)</f>
        <v>0</v>
      </c>
      <c r="L16" s="150">
        <v>6</v>
      </c>
    </row>
    <row r="17" spans="1:12" ht="12.75">
      <c r="A17" s="232"/>
      <c r="B17" s="230"/>
      <c r="C17" s="230" t="s">
        <v>242</v>
      </c>
      <c r="D17" s="107"/>
      <c r="E17" s="155">
        <v>7</v>
      </c>
      <c r="F17" s="152"/>
      <c r="G17" s="152"/>
      <c r="H17" s="152"/>
      <c r="I17" s="152"/>
      <c r="J17" s="184">
        <f>[2]!CSP1013P200F2200</f>
        <v>0</v>
      </c>
      <c r="K17" s="149">
        <f>SUM(F17:I17)</f>
        <v>0</v>
      </c>
      <c r="L17" s="150">
        <v>7</v>
      </c>
    </row>
    <row r="18" spans="1:12" s="47" customFormat="1" ht="12.75">
      <c r="A18" s="232"/>
      <c r="B18" s="231" t="s">
        <v>149</v>
      </c>
      <c r="C18" s="231"/>
      <c r="D18" s="231"/>
      <c r="E18" s="421">
        <v>8</v>
      </c>
      <c r="F18" s="154">
        <f>SUM(F14:F17)</f>
        <v>0</v>
      </c>
      <c r="G18" s="154">
        <f>SUM(G14:G17)</f>
        <v>0</v>
      </c>
      <c r="H18" s="154">
        <f>SUM(H14:H17)</f>
        <v>0</v>
      </c>
      <c r="I18" s="154">
        <f>SUM(I14:I17)</f>
        <v>0</v>
      </c>
      <c r="J18" s="154">
        <f>SUM(J14:J17)</f>
        <v>0</v>
      </c>
      <c r="K18" s="154">
        <f>SUM(F18:I18)</f>
        <v>0</v>
      </c>
      <c r="L18" s="214">
        <v>8</v>
      </c>
    </row>
    <row r="19" spans="1:12" ht="12.75">
      <c r="A19" s="422"/>
      <c r="B19" s="146" t="s">
        <v>49</v>
      </c>
      <c r="C19" s="146"/>
      <c r="D19" s="146"/>
      <c r="E19" s="593">
        <v>9</v>
      </c>
      <c r="F19" s="341"/>
      <c r="G19" s="341"/>
      <c r="H19" s="341"/>
      <c r="I19" s="341"/>
      <c r="J19" s="606">
        <f>[2]!CSP1013P530F1000</f>
        <v>0</v>
      </c>
      <c r="K19" s="588">
        <f>SUM(F20:I20)</f>
        <v>102127</v>
      </c>
      <c r="L19" s="150"/>
    </row>
    <row r="20" spans="1:12" ht="12.75">
      <c r="A20" s="123"/>
      <c r="B20" s="118"/>
      <c r="C20" s="118" t="s">
        <v>201</v>
      </c>
      <c r="D20" s="118"/>
      <c r="E20" s="594"/>
      <c r="F20" s="125"/>
      <c r="G20" s="125"/>
      <c r="H20" s="125">
        <v>102127</v>
      </c>
      <c r="I20" s="125"/>
      <c r="J20" s="607"/>
      <c r="K20" s="589"/>
      <c r="L20" s="150">
        <v>9</v>
      </c>
    </row>
    <row r="21" spans="1:12" ht="12.75">
      <c r="A21" s="422"/>
      <c r="B21" s="107" t="s">
        <v>164</v>
      </c>
      <c r="C21" s="107"/>
      <c r="D21" s="227"/>
      <c r="E21" s="183"/>
      <c r="F21" s="341"/>
      <c r="G21" s="341"/>
      <c r="H21" s="341"/>
      <c r="I21" s="341"/>
      <c r="J21" s="606">
        <f>[2]!CSP1013POtherF1000</f>
        <v>0</v>
      </c>
      <c r="K21" s="588">
        <f>SUM(F22:I22)</f>
        <v>0</v>
      </c>
      <c r="L21" s="150"/>
    </row>
    <row r="22" spans="1:12" ht="12.75">
      <c r="A22" s="123"/>
      <c r="B22" s="107"/>
      <c r="C22" s="107" t="s">
        <v>201</v>
      </c>
      <c r="D22" s="107"/>
      <c r="E22" s="155">
        <v>10</v>
      </c>
      <c r="F22" s="125"/>
      <c r="G22" s="125"/>
      <c r="H22" s="125"/>
      <c r="I22" s="125"/>
      <c r="J22" s="607"/>
      <c r="K22" s="589"/>
      <c r="L22" s="150">
        <v>10</v>
      </c>
    </row>
    <row r="23" spans="1:12" ht="12.75">
      <c r="A23" s="123"/>
      <c r="B23" s="107"/>
      <c r="C23" s="107" t="s">
        <v>255</v>
      </c>
      <c r="D23" s="107"/>
      <c r="E23" s="155">
        <v>11</v>
      </c>
      <c r="F23" s="195"/>
      <c r="G23" s="194"/>
      <c r="H23" s="194"/>
      <c r="I23" s="194"/>
      <c r="J23" s="184">
        <f>[2]!CSP1013POtherF21002200</f>
        <v>0</v>
      </c>
      <c r="K23" s="128">
        <f>SUM(F23:I23)</f>
        <v>0</v>
      </c>
      <c r="L23" s="150">
        <v>11</v>
      </c>
    </row>
    <row r="24" spans="1:12" s="47" customFormat="1" ht="12.75">
      <c r="A24" s="233"/>
      <c r="B24" s="231" t="s">
        <v>184</v>
      </c>
      <c r="C24" s="231"/>
      <c r="D24" s="231"/>
      <c r="E24" s="135">
        <v>12</v>
      </c>
      <c r="F24" s="384">
        <f>SUM(F21:F23)</f>
        <v>0</v>
      </c>
      <c r="G24" s="384">
        <f>SUM(G21:G23)</f>
        <v>0</v>
      </c>
      <c r="H24" s="384">
        <f>SUM(H21:H23)</f>
        <v>0</v>
      </c>
      <c r="I24" s="384">
        <f>SUM(I21:I23)</f>
        <v>0</v>
      </c>
      <c r="J24" s="154">
        <f>SUM(J21:J23)</f>
        <v>0</v>
      </c>
      <c r="K24" s="383">
        <f>SUM(F24:I24)</f>
        <v>0</v>
      </c>
      <c r="L24" s="214">
        <v>12</v>
      </c>
    </row>
    <row r="25" spans="1:12" ht="12.75">
      <c r="A25" s="117" t="s">
        <v>185</v>
      </c>
      <c r="B25" s="156"/>
      <c r="C25" s="118"/>
      <c r="D25" s="118"/>
      <c r="E25" s="127">
        <v>13</v>
      </c>
      <c r="F25" s="154">
        <f>+F13+F18+F20+F24</f>
        <v>0</v>
      </c>
      <c r="G25" s="154">
        <f>+G13+G18+G20+G24</f>
        <v>0</v>
      </c>
      <c r="H25" s="154">
        <f>+H13+H18+H20+H24</f>
        <v>102127</v>
      </c>
      <c r="I25" s="154">
        <f>+I13+I18+I20+I24</f>
        <v>0</v>
      </c>
      <c r="J25" s="154">
        <f>J13+J18+J19+J24</f>
        <v>70551</v>
      </c>
      <c r="K25" s="154">
        <f>+K13+K18+K19+K24</f>
        <v>102127</v>
      </c>
      <c r="L25" s="150">
        <v>13</v>
      </c>
    </row>
    <row r="26" spans="1:13" ht="12.75">
      <c r="A26" s="604" t="s">
        <v>206</v>
      </c>
      <c r="B26" s="605"/>
      <c r="C26" s="605"/>
      <c r="D26" s="605"/>
      <c r="E26" s="127">
        <v>14</v>
      </c>
      <c r="F26" s="154">
        <f>CSP1011O6100+CSP1012O6100+CSP1013O6100</f>
        <v>138451</v>
      </c>
      <c r="G26" s="154">
        <f>CSP1011O6200+CSP1012O6200+CSP1013O6200</f>
        <v>14739</v>
      </c>
      <c r="H26" s="154">
        <f>CSP1013O630064006500</f>
        <v>102127</v>
      </c>
      <c r="I26" s="154">
        <f>CSP1013O6600</f>
        <v>0</v>
      </c>
      <c r="J26" s="154">
        <f>CSP1011Budg+CSP1012Budg+CSP1013Budg</f>
        <v>176379</v>
      </c>
      <c r="K26" s="154">
        <f>CSP1011Act+CSP1012Act+CSP1013Act</f>
        <v>255317</v>
      </c>
      <c r="L26" s="214">
        <v>14</v>
      </c>
      <c r="M26" s="3">
        <f>IF(TotalCSPAct&lt;=0,"The School is reporting zero expenditures in the Classroom Site Project.","")</f>
      </c>
    </row>
    <row r="27" spans="1:9" ht="26.25" customHeight="1">
      <c r="A27" s="160"/>
      <c r="B27" s="160"/>
      <c r="C27" s="160"/>
      <c r="D27" s="160"/>
      <c r="E27" s="160"/>
      <c r="F27" s="160"/>
      <c r="G27" s="160"/>
      <c r="H27" s="160"/>
      <c r="I27" s="160"/>
    </row>
    <row r="28" spans="1:12" ht="12.75">
      <c r="A28" s="597" t="s">
        <v>174</v>
      </c>
      <c r="B28" s="598"/>
      <c r="C28" s="598"/>
      <c r="D28" s="598"/>
      <c r="E28" s="599"/>
      <c r="F28" s="174" t="s">
        <v>176</v>
      </c>
      <c r="G28" s="175"/>
      <c r="H28" s="176"/>
      <c r="I28" s="36"/>
      <c r="J28" s="2"/>
      <c r="K28" s="2"/>
      <c r="L28" s="22"/>
    </row>
    <row r="29" spans="1:12" ht="12.75">
      <c r="A29" s="600"/>
      <c r="B29" s="601"/>
      <c r="C29" s="601"/>
      <c r="D29" s="601"/>
      <c r="E29" s="601"/>
      <c r="F29" s="177"/>
      <c r="G29" s="178" t="s">
        <v>344</v>
      </c>
      <c r="H29" s="177"/>
      <c r="I29" s="36"/>
      <c r="J29" s="2"/>
      <c r="K29" s="2"/>
      <c r="L29" s="22"/>
    </row>
    <row r="30" spans="1:12" ht="12.75">
      <c r="A30" s="602"/>
      <c r="B30" s="603"/>
      <c r="C30" s="603"/>
      <c r="D30" s="603"/>
      <c r="E30" s="603"/>
      <c r="F30" s="32" t="s">
        <v>343</v>
      </c>
      <c r="G30" s="173" t="s">
        <v>177</v>
      </c>
      <c r="H30" s="32" t="s">
        <v>345</v>
      </c>
      <c r="I30" s="161"/>
      <c r="J30" s="22"/>
      <c r="K30" s="22"/>
      <c r="L30" s="22"/>
    </row>
    <row r="31" spans="1:12" ht="12.75">
      <c r="A31" s="162" t="s">
        <v>187</v>
      </c>
      <c r="B31" s="163"/>
      <c r="C31" s="163"/>
      <c r="D31" s="163"/>
      <c r="E31" s="166">
        <v>15</v>
      </c>
      <c r="F31" s="241">
        <f>[1]!CSP1011EndBal</f>
        <v>0</v>
      </c>
      <c r="G31" s="241">
        <f>[1]!CSP1012EndBal</f>
        <v>0</v>
      </c>
      <c r="H31" s="241">
        <f>[1]!CSP1013EndBal</f>
        <v>0</v>
      </c>
      <c r="I31" s="164">
        <v>15</v>
      </c>
      <c r="J31" s="2"/>
      <c r="K31" s="42"/>
      <c r="L31" s="42"/>
    </row>
    <row r="32" spans="1:12" ht="12.75">
      <c r="A32" s="165" t="s">
        <v>175</v>
      </c>
      <c r="B32" s="36"/>
      <c r="C32" s="36"/>
      <c r="D32" s="36"/>
      <c r="F32" s="343"/>
      <c r="G32" s="343"/>
      <c r="H32" s="343"/>
      <c r="I32" s="164"/>
      <c r="J32" s="2"/>
      <c r="K32" s="42"/>
      <c r="L32" s="42"/>
    </row>
    <row r="33" spans="1:12" ht="12.75">
      <c r="A33" s="165"/>
      <c r="B33" s="36" t="s">
        <v>179</v>
      </c>
      <c r="C33" s="36"/>
      <c r="D33" s="36"/>
      <c r="E33" s="166">
        <v>16</v>
      </c>
      <c r="F33" s="344">
        <v>51063</v>
      </c>
      <c r="G33" s="344">
        <v>102127</v>
      </c>
      <c r="H33" s="344">
        <v>102127</v>
      </c>
      <c r="I33" s="167">
        <v>16</v>
      </c>
      <c r="J33" s="2"/>
      <c r="K33" s="159"/>
      <c r="L33" s="42"/>
    </row>
    <row r="34" spans="1:9" ht="12.75">
      <c r="A34" s="165"/>
      <c r="B34" s="36" t="s">
        <v>173</v>
      </c>
      <c r="C34" s="36"/>
      <c r="D34" s="36"/>
      <c r="E34" s="166">
        <v>17</v>
      </c>
      <c r="F34" s="171"/>
      <c r="G34" s="171"/>
      <c r="H34" s="171"/>
      <c r="I34" s="167">
        <v>17</v>
      </c>
    </row>
    <row r="35" spans="1:9" ht="12.75">
      <c r="A35" s="165" t="s">
        <v>207</v>
      </c>
      <c r="B35" s="36"/>
      <c r="C35" s="36"/>
      <c r="D35" s="36"/>
      <c r="E35" s="166">
        <v>18</v>
      </c>
      <c r="F35" s="170">
        <f>F33+F34</f>
        <v>51063</v>
      </c>
      <c r="G35" s="170">
        <f>G33+G34</f>
        <v>102127</v>
      </c>
      <c r="H35" s="170">
        <f>H33+H34</f>
        <v>102127</v>
      </c>
      <c r="I35" s="167">
        <v>18</v>
      </c>
    </row>
    <row r="36" spans="1:9" ht="12.75">
      <c r="A36" s="168" t="s">
        <v>208</v>
      </c>
      <c r="B36" s="36"/>
      <c r="C36" s="36"/>
      <c r="D36" s="36"/>
      <c r="E36" s="166">
        <v>19</v>
      </c>
      <c r="F36" s="170">
        <f>F31+F35</f>
        <v>51063</v>
      </c>
      <c r="G36" s="170">
        <f>G31+G35</f>
        <v>102127</v>
      </c>
      <c r="H36" s="170">
        <f>H31+H35</f>
        <v>102127</v>
      </c>
      <c r="I36" s="167">
        <v>19</v>
      </c>
    </row>
    <row r="37" spans="1:9" ht="12.75">
      <c r="A37" s="168" t="s">
        <v>347</v>
      </c>
      <c r="B37" s="36"/>
      <c r="C37" s="36"/>
      <c r="D37" s="36"/>
      <c r="E37" s="166">
        <v>20</v>
      </c>
      <c r="F37" s="170">
        <f>CSP1011Act</f>
        <v>51063</v>
      </c>
      <c r="G37" s="170">
        <f>CSP1012Act</f>
        <v>102127</v>
      </c>
      <c r="H37" s="170">
        <f>CSP1013Act</f>
        <v>102127</v>
      </c>
      <c r="I37" s="167">
        <v>20</v>
      </c>
    </row>
    <row r="38" spans="1:9" ht="12.75">
      <c r="A38" s="169" t="s">
        <v>219</v>
      </c>
      <c r="B38" s="158"/>
      <c r="C38" s="158"/>
      <c r="D38" s="158"/>
      <c r="E38" s="215">
        <v>21</v>
      </c>
      <c r="F38" s="170">
        <f>F36-F37</f>
        <v>0</v>
      </c>
      <c r="G38" s="170">
        <f>G36-G37</f>
        <v>0</v>
      </c>
      <c r="H38" s="170">
        <f>H36-H37</f>
        <v>0</v>
      </c>
      <c r="I38" s="167">
        <v>21</v>
      </c>
    </row>
    <row r="39" spans="1:9" ht="12.75">
      <c r="A39" s="36"/>
      <c r="B39" s="36"/>
      <c r="C39" s="36"/>
      <c r="D39" s="36"/>
      <c r="E39" s="36"/>
      <c r="F39" s="160"/>
      <c r="G39" s="160"/>
      <c r="H39" s="160"/>
      <c r="I39" s="160"/>
    </row>
    <row r="40" spans="1:9" ht="12.75">
      <c r="A40" s="36"/>
      <c r="B40" s="36"/>
      <c r="C40" s="36"/>
      <c r="D40" s="36"/>
      <c r="E40" s="36"/>
      <c r="F40" s="160"/>
      <c r="G40" s="160"/>
      <c r="H40" s="160"/>
      <c r="I40" s="160"/>
    </row>
  </sheetData>
  <sheetProtection formatCells="0" formatColumns="0" formatRows="0"/>
  <mergeCells count="16">
    <mergeCell ref="A4:K4"/>
    <mergeCell ref="D1:E1"/>
    <mergeCell ref="H5:H7"/>
    <mergeCell ref="J5:K5"/>
    <mergeCell ref="K1:L1"/>
    <mergeCell ref="J8:J10"/>
    <mergeCell ref="K21:K22"/>
    <mergeCell ref="K8:K10"/>
    <mergeCell ref="E19:E20"/>
    <mergeCell ref="J14:J15"/>
    <mergeCell ref="K14:K15"/>
    <mergeCell ref="A28:E30"/>
    <mergeCell ref="A26:D26"/>
    <mergeCell ref="J19:J20"/>
    <mergeCell ref="K19:K20"/>
    <mergeCell ref="J21:J22"/>
  </mergeCells>
  <printOptions horizontalCentered="1"/>
  <pageMargins left="1" right="0.25" top="0.5" bottom="0.25" header="0.5" footer="0.15"/>
  <pageSetup fitToHeight="1" fitToWidth="1" horizontalDpi="600" verticalDpi="600" orientation="landscape" scale="84" r:id="rId1"/>
  <headerFooter>
    <oddFooter>&amp;LRev. 8/18&amp;CFY 2018&amp;RPage 4 of 10</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M35"/>
  <sheetViews>
    <sheetView showGridLines="0" workbookViewId="0" topLeftCell="A1">
      <selection activeCell="F17" sqref="F17"/>
    </sheetView>
  </sheetViews>
  <sheetFormatPr defaultColWidth="8.83203125" defaultRowHeight="12.75"/>
  <cols>
    <col min="1" max="1" width="1.83203125" style="3" customWidth="1"/>
    <col min="2" max="2" width="20.33203125" style="3" customWidth="1"/>
    <col min="3" max="3" width="15.5" style="3" customWidth="1"/>
    <col min="4" max="4" width="20.16015625" style="3" customWidth="1"/>
    <col min="5" max="5" width="3.33203125" style="3" customWidth="1"/>
    <col min="6" max="9" width="15.33203125" style="3" customWidth="1"/>
    <col min="10" max="10" width="2.33203125" style="3" customWidth="1"/>
    <col min="11" max="13" width="15.33203125" style="3" customWidth="1"/>
    <col min="14" max="16384" width="8.83203125" style="3" customWidth="1"/>
  </cols>
  <sheetData>
    <row r="1" spans="1:13" ht="12.75" customHeight="1">
      <c r="A1" s="98" t="s">
        <v>0</v>
      </c>
      <c r="B1" s="99"/>
      <c r="C1" s="610" t="str">
        <f>'Cover Page'!D1</f>
        <v>NORTH STAR CHARTER SCHOOL, INC.</v>
      </c>
      <c r="D1" s="610"/>
      <c r="F1" s="104"/>
      <c r="G1" s="103" t="s">
        <v>141</v>
      </c>
      <c r="H1" s="610" t="str">
        <f>'Cover Page'!M1</f>
        <v>MARICOPA</v>
      </c>
      <c r="I1" s="610"/>
      <c r="J1" s="104"/>
      <c r="K1" s="103"/>
      <c r="L1" s="103" t="s">
        <v>138</v>
      </c>
      <c r="M1" s="105" t="str">
        <f>'Cover Page'!R1</f>
        <v>078945000</v>
      </c>
    </row>
    <row r="2" spans="1:12" ht="12.75" customHeight="1">
      <c r="A2" s="104"/>
      <c r="B2" s="104"/>
      <c r="C2" s="104"/>
      <c r="D2" s="104"/>
      <c r="E2" s="104"/>
      <c r="F2" s="104"/>
      <c r="G2" s="104"/>
      <c r="H2" s="104"/>
      <c r="I2" s="104"/>
      <c r="J2" s="104"/>
      <c r="K2" s="107"/>
      <c r="L2" s="107"/>
    </row>
    <row r="3" spans="1:12" ht="12.75" customHeight="1">
      <c r="A3" s="145"/>
      <c r="B3" s="146"/>
      <c r="C3" s="146"/>
      <c r="D3" s="146"/>
      <c r="E3" s="146"/>
      <c r="F3" s="314" t="s">
        <v>3</v>
      </c>
      <c r="G3" s="148" t="s">
        <v>190</v>
      </c>
      <c r="H3" s="586" t="s">
        <v>143</v>
      </c>
      <c r="I3" s="587"/>
      <c r="J3" s="104"/>
      <c r="K3" s="99"/>
      <c r="L3" s="99"/>
    </row>
    <row r="4" spans="1:12" ht="12.75" customHeight="1">
      <c r="A4" s="113" t="s">
        <v>113</v>
      </c>
      <c r="B4" s="107"/>
      <c r="C4" s="107"/>
      <c r="D4" s="107"/>
      <c r="E4" s="107"/>
      <c r="F4" s="116" t="s">
        <v>188</v>
      </c>
      <c r="G4" s="115" t="s">
        <v>189</v>
      </c>
      <c r="H4" s="148"/>
      <c r="I4" s="196"/>
      <c r="J4" s="104"/>
      <c r="K4" s="99"/>
      <c r="L4" s="99"/>
    </row>
    <row r="5" spans="1:11" ht="12.75" customHeight="1">
      <c r="A5" s="117"/>
      <c r="B5" s="118"/>
      <c r="C5" s="118"/>
      <c r="D5" s="118"/>
      <c r="E5" s="118"/>
      <c r="F5" s="121">
        <v>1000</v>
      </c>
      <c r="G5" s="120">
        <v>2000</v>
      </c>
      <c r="H5" s="120" t="s">
        <v>162</v>
      </c>
      <c r="I5" s="197" t="s">
        <v>163</v>
      </c>
      <c r="J5" s="104"/>
      <c r="K5" s="99"/>
    </row>
    <row r="6" spans="1:11" ht="12.75" customHeight="1">
      <c r="A6" s="186" t="s">
        <v>186</v>
      </c>
      <c r="B6" s="146"/>
      <c r="C6" s="146"/>
      <c r="D6" s="146"/>
      <c r="E6" s="187"/>
      <c r="F6" s="342"/>
      <c r="G6" s="342"/>
      <c r="H6" s="616">
        <v>12000</v>
      </c>
      <c r="I6" s="616">
        <f>SUM(F7:G7)</f>
        <v>0</v>
      </c>
      <c r="J6" s="364"/>
      <c r="K6" s="99"/>
    </row>
    <row r="7" spans="1:11" ht="12.75" customHeight="1">
      <c r="A7" s="123"/>
      <c r="B7" s="107" t="s">
        <v>191</v>
      </c>
      <c r="C7" s="107"/>
      <c r="D7" s="107"/>
      <c r="E7" s="155">
        <v>1</v>
      </c>
      <c r="F7" s="354"/>
      <c r="G7" s="354"/>
      <c r="H7" s="617"/>
      <c r="I7" s="617"/>
      <c r="J7" s="185">
        <v>1</v>
      </c>
      <c r="K7" s="107"/>
    </row>
    <row r="8" spans="1:11" ht="12.75" customHeight="1">
      <c r="A8" s="123"/>
      <c r="B8" s="107" t="s">
        <v>192</v>
      </c>
      <c r="C8" s="107"/>
      <c r="D8" s="107"/>
      <c r="E8" s="155">
        <v>2</v>
      </c>
      <c r="F8" s="315"/>
      <c r="G8" s="368"/>
      <c r="H8" s="154">
        <f>[2]!IIPClassSizeReduction</f>
        <v>0</v>
      </c>
      <c r="I8" s="149">
        <f>SUM(F8:G8)</f>
        <v>0</v>
      </c>
      <c r="J8" s="185">
        <v>2</v>
      </c>
      <c r="K8" s="107"/>
    </row>
    <row r="9" spans="1:11" ht="12.75" customHeight="1">
      <c r="A9" s="123"/>
      <c r="B9" s="107" t="s">
        <v>310</v>
      </c>
      <c r="C9" s="107"/>
      <c r="D9" s="107"/>
      <c r="E9" s="155">
        <v>3</v>
      </c>
      <c r="F9" s="315">
        <v>17987</v>
      </c>
      <c r="G9" s="193"/>
      <c r="H9" s="154">
        <f>[2]!IIPDropoutPreventionPrograms</f>
        <v>0</v>
      </c>
      <c r="I9" s="149">
        <f>SUM(F9:G9)</f>
        <v>17987</v>
      </c>
      <c r="J9" s="185">
        <v>3</v>
      </c>
      <c r="K9" s="107"/>
    </row>
    <row r="10" spans="1:11" ht="12.75" customHeight="1">
      <c r="A10" s="123"/>
      <c r="B10" s="107" t="s">
        <v>311</v>
      </c>
      <c r="C10" s="107"/>
      <c r="D10" s="107"/>
      <c r="E10" s="155">
        <v>4</v>
      </c>
      <c r="F10" s="315"/>
      <c r="G10" s="193"/>
      <c r="H10" s="154">
        <f>[2]!IIPInstructionalImprovementPrograms</f>
        <v>0</v>
      </c>
      <c r="I10" s="149">
        <f>SUM(F10:G10)</f>
        <v>0</v>
      </c>
      <c r="J10" s="185">
        <v>4</v>
      </c>
      <c r="K10" s="107"/>
    </row>
    <row r="11" spans="1:11" ht="12.75" customHeight="1">
      <c r="A11" s="117" t="s">
        <v>304</v>
      </c>
      <c r="B11" s="8"/>
      <c r="C11" s="118"/>
      <c r="D11" s="118"/>
      <c r="E11" s="153">
        <v>5</v>
      </c>
      <c r="F11" s="316">
        <f>SUM(F6:F10)</f>
        <v>17987</v>
      </c>
      <c r="G11" s="149">
        <f>SUM(G6:G10)</f>
        <v>0</v>
      </c>
      <c r="H11" s="149">
        <f>SUM(H6:H10)</f>
        <v>12000</v>
      </c>
      <c r="I11" s="149">
        <f>SUM(I6:I10)</f>
        <v>17987</v>
      </c>
      <c r="J11" s="185">
        <v>5</v>
      </c>
      <c r="K11" s="107"/>
    </row>
    <row r="12" spans="1:12" ht="12.75" customHeight="1">
      <c r="A12" s="160"/>
      <c r="B12" s="160"/>
      <c r="C12" s="160"/>
      <c r="D12" s="160"/>
      <c r="E12" s="160"/>
      <c r="F12" s="160"/>
      <c r="G12" s="160"/>
      <c r="H12" s="160"/>
      <c r="I12" s="160"/>
      <c r="J12" s="160"/>
      <c r="K12" s="101"/>
      <c r="L12" s="99"/>
    </row>
    <row r="13" spans="1:11" ht="12.75" customHeight="1">
      <c r="A13" s="162"/>
      <c r="B13" s="163"/>
      <c r="C13" s="163"/>
      <c r="D13" s="163"/>
      <c r="E13" s="199"/>
      <c r="F13" s="200"/>
      <c r="G13" s="160"/>
      <c r="H13" s="160"/>
      <c r="K13" s="99"/>
    </row>
    <row r="14" spans="1:11" ht="12.75" customHeight="1">
      <c r="A14" s="82" t="s">
        <v>205</v>
      </c>
      <c r="B14" s="158"/>
      <c r="C14" s="158"/>
      <c r="D14" s="158"/>
      <c r="E14" s="321"/>
      <c r="F14" s="317" t="s">
        <v>163</v>
      </c>
      <c r="G14" s="160"/>
      <c r="H14" s="160"/>
      <c r="K14" s="99"/>
    </row>
    <row r="15" spans="1:10" ht="12.75" customHeight="1">
      <c r="A15" s="312" t="s">
        <v>187</v>
      </c>
      <c r="B15" s="22"/>
      <c r="C15" s="2"/>
      <c r="D15" s="188"/>
      <c r="E15" s="216">
        <v>6</v>
      </c>
      <c r="F15" s="339">
        <f>[1]!AddlInstrImprProjEndBal</f>
        <v>0</v>
      </c>
      <c r="G15" s="185">
        <v>6</v>
      </c>
      <c r="I15" s="151"/>
      <c r="J15" s="151"/>
    </row>
    <row r="16" spans="1:10" ht="12.75" customHeight="1">
      <c r="A16" s="190" t="s">
        <v>175</v>
      </c>
      <c r="B16" s="42"/>
      <c r="C16" s="2"/>
      <c r="D16" s="188"/>
      <c r="E16" s="216">
        <v>7</v>
      </c>
      <c r="F16" s="318">
        <v>17987</v>
      </c>
      <c r="G16" s="185">
        <v>7</v>
      </c>
      <c r="I16" s="151"/>
      <c r="J16" s="151"/>
    </row>
    <row r="17" spans="1:10" ht="12.75" customHeight="1">
      <c r="A17" s="190" t="s">
        <v>193</v>
      </c>
      <c r="B17" s="42"/>
      <c r="C17" s="2"/>
      <c r="D17" s="188"/>
      <c r="E17" s="216">
        <v>8</v>
      </c>
      <c r="F17" s="319">
        <f>SUM(F15:F16)</f>
        <v>17987</v>
      </c>
      <c r="G17" s="185">
        <v>8</v>
      </c>
      <c r="I17" s="151"/>
      <c r="J17" s="151"/>
    </row>
    <row r="18" spans="1:10" ht="12.75" customHeight="1">
      <c r="A18" s="191" t="s">
        <v>289</v>
      </c>
      <c r="B18" s="2"/>
      <c r="C18" s="2"/>
      <c r="D18" s="188"/>
      <c r="E18" s="216">
        <v>9</v>
      </c>
      <c r="F18" s="320">
        <f>ActualTotalInstImpExp</f>
        <v>17987</v>
      </c>
      <c r="G18" s="185">
        <v>9</v>
      </c>
      <c r="I18" s="151"/>
      <c r="J18" s="151"/>
    </row>
    <row r="19" spans="1:7" ht="12.75" customHeight="1">
      <c r="A19" s="192" t="s">
        <v>194</v>
      </c>
      <c r="B19" s="158"/>
      <c r="C19" s="8"/>
      <c r="D19" s="189"/>
      <c r="E19" s="217">
        <v>10</v>
      </c>
      <c r="F19" s="320">
        <f>F17-F18</f>
        <v>0</v>
      </c>
      <c r="G19" s="185">
        <v>10</v>
      </c>
    </row>
    <row r="20" spans="1:8" ht="12.75" customHeight="1">
      <c r="A20" s="286"/>
      <c r="B20" s="36"/>
      <c r="C20" s="2"/>
      <c r="D20" s="188"/>
      <c r="E20" s="216"/>
      <c r="F20" s="287"/>
      <c r="G20" s="287"/>
      <c r="H20" s="185"/>
    </row>
    <row r="21" spans="1:8" ht="12.75" customHeight="1">
      <c r="A21" s="286"/>
      <c r="B21" s="36"/>
      <c r="C21" s="2"/>
      <c r="D21" s="188"/>
      <c r="E21" s="216"/>
      <c r="F21" s="287"/>
      <c r="G21" s="287"/>
      <c r="H21" s="185"/>
    </row>
    <row r="22" spans="1:8" ht="12.75" customHeight="1">
      <c r="A22" s="286"/>
      <c r="B22" s="36"/>
      <c r="C22" s="2"/>
      <c r="D22" s="188"/>
      <c r="E22" s="216"/>
      <c r="F22" s="287"/>
      <c r="G22" s="287"/>
      <c r="H22" s="185"/>
    </row>
    <row r="23" spans="1:8" ht="12.75" customHeight="1">
      <c r="A23" s="286"/>
      <c r="B23" s="36"/>
      <c r="C23" s="2"/>
      <c r="D23" s="188"/>
      <c r="E23" s="216"/>
      <c r="F23" s="287"/>
      <c r="G23" s="287"/>
      <c r="H23" s="185"/>
    </row>
    <row r="24" spans="1:8" ht="12.75" customHeight="1">
      <c r="A24" s="286"/>
      <c r="B24" s="36"/>
      <c r="C24" s="2"/>
      <c r="D24" s="188"/>
      <c r="E24" s="216"/>
      <c r="F24" s="287"/>
      <c r="G24" s="287"/>
      <c r="H24" s="185"/>
    </row>
    <row r="25" spans="1:8" ht="12.75" customHeight="1">
      <c r="A25" s="286"/>
      <c r="B25" s="36"/>
      <c r="C25" s="2"/>
      <c r="D25" s="188"/>
      <c r="E25" s="216"/>
      <c r="F25" s="287"/>
      <c r="G25" s="287"/>
      <c r="H25" s="185"/>
    </row>
    <row r="26" spans="1:8" ht="12.75" customHeight="1">
      <c r="A26" s="286"/>
      <c r="B26" s="36"/>
      <c r="C26" s="2"/>
      <c r="D26" s="188"/>
      <c r="E26" s="216"/>
      <c r="F26" s="287"/>
      <c r="G26" s="287"/>
      <c r="H26" s="185"/>
    </row>
    <row r="27" spans="1:12" ht="12.75" customHeight="1">
      <c r="A27" s="2"/>
      <c r="B27" s="2"/>
      <c r="C27" s="36"/>
      <c r="D27" s="36"/>
      <c r="E27" s="36"/>
      <c r="F27" s="161"/>
      <c r="G27" s="161"/>
      <c r="H27" s="161"/>
      <c r="I27" s="161"/>
      <c r="J27" s="161"/>
      <c r="K27" s="161"/>
      <c r="L27" s="161"/>
    </row>
    <row r="28" spans="1:12" ht="12.75" customHeight="1">
      <c r="A28" s="36"/>
      <c r="B28" s="2"/>
      <c r="C28" s="2"/>
      <c r="D28" s="36"/>
      <c r="E28" s="36"/>
      <c r="F28" s="332"/>
      <c r="G28" s="332"/>
      <c r="H28" s="332"/>
      <c r="I28" s="332"/>
      <c r="J28" s="332"/>
      <c r="K28" s="333"/>
      <c r="L28" s="329"/>
    </row>
    <row r="29" spans="1:12" ht="11.25" customHeight="1">
      <c r="A29" s="323"/>
      <c r="B29" s="2"/>
      <c r="C29" s="209"/>
      <c r="D29" s="161"/>
      <c r="E29" s="209"/>
      <c r="F29" s="324"/>
      <c r="G29" s="324"/>
      <c r="H29" s="2"/>
      <c r="I29" s="2"/>
      <c r="J29" s="2"/>
      <c r="K29" s="2"/>
      <c r="L29" s="2"/>
    </row>
    <row r="30" spans="1:12" ht="11.25" customHeight="1">
      <c r="A30" s="325"/>
      <c r="B30" s="311"/>
      <c r="C30" s="311"/>
      <c r="D30" s="313"/>
      <c r="E30" s="311"/>
      <c r="F30" s="334"/>
      <c r="G30" s="335"/>
      <c r="H30" s="326"/>
      <c r="I30" s="2"/>
      <c r="J30" s="2"/>
      <c r="K30" s="2"/>
      <c r="L30" s="2"/>
    </row>
    <row r="31" spans="1:12" ht="11.25" customHeight="1">
      <c r="A31" s="325"/>
      <c r="B31" s="311"/>
      <c r="C31" s="311"/>
      <c r="D31" s="313"/>
      <c r="E31" s="311"/>
      <c r="F31" s="334"/>
      <c r="G31" s="335"/>
      <c r="H31" s="326"/>
      <c r="I31" s="2"/>
      <c r="J31" s="2"/>
      <c r="K31" s="2"/>
      <c r="L31" s="2"/>
    </row>
    <row r="32" spans="1:12" ht="11.25" customHeight="1">
      <c r="A32" s="325"/>
      <c r="B32" s="311"/>
      <c r="C32" s="311"/>
      <c r="D32" s="313"/>
      <c r="E32" s="311"/>
      <c r="F32" s="334"/>
      <c r="G32" s="335"/>
      <c r="H32" s="326"/>
      <c r="I32" s="2"/>
      <c r="J32" s="2"/>
      <c r="K32" s="2"/>
      <c r="L32" s="2"/>
    </row>
    <row r="33" spans="1:12" ht="11.25" customHeight="1">
      <c r="A33" s="325"/>
      <c r="B33" s="311"/>
      <c r="C33" s="311"/>
      <c r="D33" s="313"/>
      <c r="E33" s="311"/>
      <c r="F33" s="334"/>
      <c r="G33" s="335"/>
      <c r="H33" s="326"/>
      <c r="I33" s="2"/>
      <c r="J33" s="2"/>
      <c r="K33" s="2"/>
      <c r="L33" s="2"/>
    </row>
    <row r="34" spans="1:12" ht="11.25" customHeight="1">
      <c r="A34" s="325"/>
      <c r="B34" s="311"/>
      <c r="C34" s="311"/>
      <c r="D34" s="313"/>
      <c r="E34" s="311"/>
      <c r="F34" s="334"/>
      <c r="G34" s="335"/>
      <c r="H34" s="326"/>
      <c r="I34" s="2"/>
      <c r="J34" s="2"/>
      <c r="K34" s="2"/>
      <c r="L34" s="2"/>
    </row>
    <row r="35" spans="1:12" ht="11.25" customHeight="1">
      <c r="A35" s="325"/>
      <c r="B35" s="36"/>
      <c r="C35" s="36"/>
      <c r="D35" s="327"/>
      <c r="E35" s="36"/>
      <c r="F35" s="328"/>
      <c r="G35" s="328"/>
      <c r="H35" s="322"/>
      <c r="I35" s="2"/>
      <c r="J35" s="2"/>
      <c r="K35" s="2"/>
      <c r="L35" s="2"/>
    </row>
  </sheetData>
  <sheetProtection formatCells="0" formatColumns="0" formatRows="0"/>
  <mergeCells count="5">
    <mergeCell ref="H6:H7"/>
    <mergeCell ref="I6:I7"/>
    <mergeCell ref="H1:I1"/>
    <mergeCell ref="H3:I3"/>
    <mergeCell ref="C1:D1"/>
  </mergeCells>
  <printOptions horizontalCentered="1"/>
  <pageMargins left="1" right="0.5" top="0.5" bottom="0.5" header="0.5" footer="0.15"/>
  <pageSetup fitToHeight="1" fitToWidth="1" horizontalDpi="300" verticalDpi="300" orientation="landscape" scale="79" r:id="rId1"/>
  <headerFooter>
    <oddFooter>&amp;LRev. 8/18&amp;CFY 2018&amp;RPage 5 of 10</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P48"/>
  <sheetViews>
    <sheetView showGridLines="0" workbookViewId="0" topLeftCell="A1">
      <selection activeCell="A1" sqref="A1"/>
    </sheetView>
  </sheetViews>
  <sheetFormatPr defaultColWidth="9.33203125" defaultRowHeight="12.75"/>
  <cols>
    <col min="1" max="1" width="1.83203125" style="0" customWidth="1"/>
    <col min="2" max="2" width="2.16015625" style="0" customWidth="1"/>
    <col min="3" max="3" width="17.16015625" style="0" customWidth="1"/>
    <col min="4" max="4" width="22.66015625" style="0" customWidth="1"/>
    <col min="5" max="5" width="4.66015625" style="0" bestFit="1" customWidth="1"/>
    <col min="6" max="9" width="12.83203125" style="0" customWidth="1"/>
    <col min="10" max="10" width="14.83203125" style="0" customWidth="1"/>
    <col min="11" max="15" width="12.83203125" style="0" customWidth="1"/>
    <col min="16" max="16" width="3.66015625" style="0" bestFit="1" customWidth="1"/>
  </cols>
  <sheetData>
    <row r="1" spans="1:16" ht="12" customHeight="1">
      <c r="A1" s="285" t="s">
        <v>0</v>
      </c>
      <c r="B1" s="36"/>
      <c r="C1" s="36"/>
      <c r="D1" s="635" t="str">
        <f>'Cover Page'!D1</f>
        <v>NORTH STAR CHARTER SCHOOL, INC.</v>
      </c>
      <c r="E1" s="635"/>
      <c r="F1" s="161"/>
      <c r="G1" s="161"/>
      <c r="H1" s="36"/>
      <c r="I1" s="97" t="s">
        <v>141</v>
      </c>
      <c r="J1" s="635" t="str">
        <f>'Cover Page'!M1</f>
        <v>MARICOPA</v>
      </c>
      <c r="K1" s="635"/>
      <c r="L1" s="36"/>
      <c r="M1" s="97" t="s">
        <v>138</v>
      </c>
      <c r="N1" s="97"/>
      <c r="O1" s="245" t="str">
        <f>'Cover Page'!R1</f>
        <v>078945000</v>
      </c>
      <c r="P1" s="36"/>
    </row>
    <row r="2" spans="1:16" ht="12" customHeight="1">
      <c r="A2" s="240"/>
      <c r="B2" s="240"/>
      <c r="C2" s="240"/>
      <c r="D2" s="240"/>
      <c r="E2" s="240"/>
      <c r="F2" s="240"/>
      <c r="G2" s="240"/>
      <c r="H2" s="240"/>
      <c r="I2" s="240"/>
      <c r="J2" s="240"/>
      <c r="K2" s="36"/>
      <c r="L2" s="36"/>
      <c r="M2" s="36"/>
      <c r="N2" s="36"/>
      <c r="O2" s="36"/>
      <c r="P2" s="36"/>
    </row>
    <row r="3" spans="1:16" ht="12" customHeight="1">
      <c r="A3" s="198"/>
      <c r="B3" s="163"/>
      <c r="C3" s="163"/>
      <c r="D3" s="163"/>
      <c r="E3" s="199"/>
      <c r="F3" s="331" t="s">
        <v>282</v>
      </c>
      <c r="G3" s="199"/>
      <c r="H3" s="177"/>
      <c r="I3" s="309" t="s">
        <v>199</v>
      </c>
      <c r="J3" s="177" t="s">
        <v>198</v>
      </c>
      <c r="K3" s="199"/>
      <c r="L3" s="200"/>
      <c r="M3" s="623" t="s">
        <v>275</v>
      </c>
      <c r="N3" s="624"/>
      <c r="O3" s="29" t="s">
        <v>272</v>
      </c>
      <c r="P3" s="36"/>
    </row>
    <row r="4" spans="1:16" ht="12" customHeight="1">
      <c r="A4" s="201" t="s">
        <v>278</v>
      </c>
      <c r="B4" s="36"/>
      <c r="C4" s="36"/>
      <c r="D4" s="36"/>
      <c r="E4" s="202"/>
      <c r="F4" s="203" t="s">
        <v>273</v>
      </c>
      <c r="G4" s="282" t="s">
        <v>163</v>
      </c>
      <c r="H4" s="203" t="s">
        <v>144</v>
      </c>
      <c r="I4" s="280" t="s">
        <v>145</v>
      </c>
      <c r="J4" s="203" t="s">
        <v>189</v>
      </c>
      <c r="K4" s="282" t="s">
        <v>159</v>
      </c>
      <c r="L4" s="203" t="s">
        <v>200</v>
      </c>
      <c r="M4" s="204"/>
      <c r="N4" s="36"/>
      <c r="O4" s="203" t="s">
        <v>273</v>
      </c>
      <c r="P4" s="36"/>
    </row>
    <row r="5" spans="1:16" ht="12" customHeight="1">
      <c r="A5" s="288"/>
      <c r="B5" s="158"/>
      <c r="C5" s="158"/>
      <c r="D5" s="158"/>
      <c r="E5" s="205"/>
      <c r="F5" s="296" t="s">
        <v>274</v>
      </c>
      <c r="G5" s="291" t="s">
        <v>175</v>
      </c>
      <c r="H5" s="206">
        <v>6100</v>
      </c>
      <c r="I5" s="281">
        <v>6200</v>
      </c>
      <c r="J5" s="206" t="s">
        <v>34</v>
      </c>
      <c r="K5" s="283">
        <v>6600</v>
      </c>
      <c r="L5" s="206">
        <v>6800</v>
      </c>
      <c r="M5" s="292" t="s">
        <v>162</v>
      </c>
      <c r="N5" s="297" t="s">
        <v>163</v>
      </c>
      <c r="O5" s="296" t="s">
        <v>274</v>
      </c>
      <c r="P5" s="36"/>
    </row>
    <row r="6" spans="1:16" ht="11.25" customHeight="1">
      <c r="A6" s="261" t="s">
        <v>245</v>
      </c>
      <c r="B6" s="262"/>
      <c r="C6" s="262"/>
      <c r="D6" s="262"/>
      <c r="F6" s="621"/>
      <c r="G6" s="621"/>
      <c r="H6" s="630"/>
      <c r="I6" s="630"/>
      <c r="J6" s="630"/>
      <c r="K6" s="630"/>
      <c r="L6" s="630"/>
      <c r="M6" s="621"/>
      <c r="N6" s="294"/>
      <c r="O6" s="621"/>
      <c r="P6" s="36"/>
    </row>
    <row r="7" spans="1:16" ht="11.25" customHeight="1">
      <c r="A7" s="289" t="s">
        <v>175</v>
      </c>
      <c r="B7" s="209"/>
      <c r="C7" s="209"/>
      <c r="D7" s="209"/>
      <c r="E7" s="208"/>
      <c r="F7" s="622"/>
      <c r="G7" s="622"/>
      <c r="H7" s="631"/>
      <c r="I7" s="631"/>
      <c r="J7" s="631"/>
      <c r="K7" s="631"/>
      <c r="L7" s="631"/>
      <c r="M7" s="622"/>
      <c r="N7" s="295"/>
      <c r="O7" s="622"/>
      <c r="P7" s="36"/>
    </row>
    <row r="8" spans="1:16" ht="12" customHeight="1">
      <c r="A8" s="289"/>
      <c r="B8" s="209" t="s">
        <v>269</v>
      </c>
      <c r="C8" s="209"/>
      <c r="D8" s="209"/>
      <c r="E8" s="208">
        <v>1</v>
      </c>
      <c r="F8" s="293"/>
      <c r="G8" s="239"/>
      <c r="H8" s="293"/>
      <c r="I8" s="293"/>
      <c r="J8" s="293"/>
      <c r="K8" s="293"/>
      <c r="L8" s="293"/>
      <c r="M8" s="293"/>
      <c r="N8" s="293"/>
      <c r="O8" s="293"/>
      <c r="P8" s="164">
        <v>1</v>
      </c>
    </row>
    <row r="9" spans="1:16" ht="12" customHeight="1">
      <c r="A9" s="289"/>
      <c r="B9" s="209" t="s">
        <v>271</v>
      </c>
      <c r="C9" s="209"/>
      <c r="D9" s="209"/>
      <c r="E9" s="208">
        <v>2</v>
      </c>
      <c r="F9" s="293"/>
      <c r="G9" s="239"/>
      <c r="H9" s="293"/>
      <c r="I9" s="293"/>
      <c r="J9" s="293"/>
      <c r="K9" s="293"/>
      <c r="L9" s="293"/>
      <c r="M9" s="293"/>
      <c r="N9" s="293"/>
      <c r="O9" s="293"/>
      <c r="P9" s="164">
        <v>2</v>
      </c>
    </row>
    <row r="10" spans="1:16" ht="12" customHeight="1">
      <c r="A10" s="168" t="s">
        <v>270</v>
      </c>
      <c r="B10" s="209"/>
      <c r="C10" s="209"/>
      <c r="D10" s="209"/>
      <c r="E10" s="208">
        <v>3</v>
      </c>
      <c r="F10" s="293"/>
      <c r="G10" s="259">
        <f>SUM(G8:G9)</f>
        <v>0</v>
      </c>
      <c r="H10" s="293"/>
      <c r="I10" s="293"/>
      <c r="J10" s="293"/>
      <c r="K10" s="293"/>
      <c r="L10" s="293"/>
      <c r="M10" s="293"/>
      <c r="N10" s="293"/>
      <c r="O10" s="293"/>
      <c r="P10" s="164">
        <v>3</v>
      </c>
    </row>
    <row r="11" spans="1:16" ht="11.25" customHeight="1">
      <c r="A11" s="289" t="s">
        <v>113</v>
      </c>
      <c r="B11" s="209"/>
      <c r="C11" s="209"/>
      <c r="D11" s="209"/>
      <c r="E11" s="298"/>
      <c r="F11" s="357"/>
      <c r="G11" s="641"/>
      <c r="H11" s="343"/>
      <c r="I11" s="343"/>
      <c r="J11" s="343"/>
      <c r="K11" s="343"/>
      <c r="L11" s="343"/>
      <c r="M11" s="625">
        <f>[2]!SEIP1071P260F1000</f>
        <v>0</v>
      </c>
      <c r="N11" s="645">
        <f>SUM(H13:L13)</f>
        <v>0</v>
      </c>
      <c r="O11" s="357"/>
      <c r="P11" s="36"/>
    </row>
    <row r="12" spans="1:16" ht="12" customHeight="1">
      <c r="A12" s="165" t="s">
        <v>279</v>
      </c>
      <c r="B12" s="36"/>
      <c r="C12" s="36"/>
      <c r="D12" s="36"/>
      <c r="F12" s="358"/>
      <c r="G12" s="642"/>
      <c r="H12" s="346"/>
      <c r="I12" s="346"/>
      <c r="J12" s="346"/>
      <c r="K12" s="346"/>
      <c r="L12" s="346"/>
      <c r="M12" s="644"/>
      <c r="N12" s="646"/>
      <c r="O12" s="358"/>
      <c r="P12" s="36"/>
    </row>
    <row r="13" spans="1:16" ht="12" customHeight="1">
      <c r="A13" s="165"/>
      <c r="B13" s="36" t="s">
        <v>201</v>
      </c>
      <c r="C13" s="36"/>
      <c r="D13" s="36"/>
      <c r="E13" s="298">
        <v>4</v>
      </c>
      <c r="F13" s="359"/>
      <c r="G13" s="643"/>
      <c r="H13" s="344"/>
      <c r="I13" s="344"/>
      <c r="J13" s="344"/>
      <c r="K13" s="344"/>
      <c r="L13" s="344"/>
      <c r="M13" s="626"/>
      <c r="N13" s="647"/>
      <c r="O13" s="359"/>
      <c r="P13" s="164">
        <v>4</v>
      </c>
    </row>
    <row r="14" spans="1:15" ht="12" customHeight="1">
      <c r="A14" s="165"/>
      <c r="B14" s="209" t="s">
        <v>161</v>
      </c>
      <c r="C14" s="36"/>
      <c r="D14" s="36"/>
      <c r="F14" s="360"/>
      <c r="G14" s="641"/>
      <c r="H14" s="343"/>
      <c r="I14" s="343"/>
      <c r="J14" s="343"/>
      <c r="K14" s="343"/>
      <c r="L14" s="343"/>
      <c r="M14" s="625">
        <f>[2]!SEIP1071P260F2100</f>
        <v>0</v>
      </c>
      <c r="N14" s="645">
        <f>SUM(H15:L15)</f>
        <v>0</v>
      </c>
      <c r="O14" s="360"/>
    </row>
    <row r="15" spans="1:16" ht="12" customHeight="1">
      <c r="A15" s="165"/>
      <c r="B15" s="36"/>
      <c r="C15" s="36" t="s">
        <v>202</v>
      </c>
      <c r="D15" s="36"/>
      <c r="E15" s="208">
        <v>5</v>
      </c>
      <c r="F15" s="361"/>
      <c r="G15" s="643"/>
      <c r="H15" s="344"/>
      <c r="I15" s="344"/>
      <c r="J15" s="344"/>
      <c r="K15" s="344"/>
      <c r="L15" s="344"/>
      <c r="M15" s="626"/>
      <c r="N15" s="647"/>
      <c r="O15" s="361"/>
      <c r="P15" s="164">
        <v>5</v>
      </c>
    </row>
    <row r="16" spans="1:16" ht="12" customHeight="1">
      <c r="A16" s="165"/>
      <c r="B16" s="36"/>
      <c r="C16" s="36" t="s">
        <v>243</v>
      </c>
      <c r="D16" s="36"/>
      <c r="E16" s="298">
        <v>6</v>
      </c>
      <c r="F16" s="362"/>
      <c r="G16" s="300"/>
      <c r="H16" s="239"/>
      <c r="I16" s="239"/>
      <c r="J16" s="239"/>
      <c r="K16" s="239"/>
      <c r="L16" s="239"/>
      <c r="M16" s="258">
        <f>[2]!SEIP1071P260F2200</f>
        <v>0</v>
      </c>
      <c r="N16" s="170">
        <f aca="true" t="shared" si="0" ref="N16:N21">SUM(H16:L16)</f>
        <v>0</v>
      </c>
      <c r="O16" s="362"/>
      <c r="P16" s="164">
        <v>6</v>
      </c>
    </row>
    <row r="17" spans="1:16" ht="12" customHeight="1">
      <c r="A17" s="165"/>
      <c r="B17" s="36"/>
      <c r="C17" s="36" t="s">
        <v>203</v>
      </c>
      <c r="D17" s="36"/>
      <c r="E17" s="208">
        <v>7</v>
      </c>
      <c r="F17" s="362"/>
      <c r="G17" s="299"/>
      <c r="H17" s="239"/>
      <c r="I17" s="239"/>
      <c r="J17" s="239"/>
      <c r="K17" s="239"/>
      <c r="L17" s="239"/>
      <c r="M17" s="258">
        <f>[2]!SEIP1071P260F2300</f>
        <v>0</v>
      </c>
      <c r="N17" s="170">
        <f t="shared" si="0"/>
        <v>0</v>
      </c>
      <c r="O17" s="362"/>
      <c r="P17" s="164">
        <v>7</v>
      </c>
    </row>
    <row r="18" spans="1:16" ht="12" customHeight="1">
      <c r="A18" s="165"/>
      <c r="B18" s="36"/>
      <c r="C18" s="36" t="s">
        <v>204</v>
      </c>
      <c r="D18" s="36"/>
      <c r="E18" s="208">
        <v>8</v>
      </c>
      <c r="F18" s="362"/>
      <c r="G18" s="299"/>
      <c r="H18" s="239"/>
      <c r="I18" s="239"/>
      <c r="J18" s="239"/>
      <c r="K18" s="239"/>
      <c r="L18" s="239"/>
      <c r="M18" s="258">
        <f>[2]!SEIP1071P260F2400</f>
        <v>0</v>
      </c>
      <c r="N18" s="170">
        <f t="shared" si="0"/>
        <v>0</v>
      </c>
      <c r="O18" s="362"/>
      <c r="P18" s="164">
        <v>8</v>
      </c>
    </row>
    <row r="19" spans="1:16" ht="12" customHeight="1">
      <c r="A19" s="165"/>
      <c r="B19" s="36"/>
      <c r="C19" s="209" t="s">
        <v>244</v>
      </c>
      <c r="D19" s="36"/>
      <c r="E19" s="208">
        <v>9</v>
      </c>
      <c r="F19" s="362"/>
      <c r="G19" s="299"/>
      <c r="H19" s="239"/>
      <c r="I19" s="239"/>
      <c r="J19" s="239"/>
      <c r="K19" s="239"/>
      <c r="L19" s="239"/>
      <c r="M19" s="258">
        <f>[2]!SEIP1071P260F2500</f>
        <v>0</v>
      </c>
      <c r="N19" s="170">
        <f t="shared" si="0"/>
        <v>0</v>
      </c>
      <c r="O19" s="362"/>
      <c r="P19" s="164">
        <v>9</v>
      </c>
    </row>
    <row r="20" spans="1:16" ht="12" customHeight="1">
      <c r="A20" s="165"/>
      <c r="B20" s="36"/>
      <c r="C20" s="209" t="s">
        <v>305</v>
      </c>
      <c r="D20" s="36"/>
      <c r="E20" s="208">
        <v>10</v>
      </c>
      <c r="F20" s="362"/>
      <c r="G20" s="299"/>
      <c r="H20" s="171"/>
      <c r="I20" s="171"/>
      <c r="J20" s="171"/>
      <c r="K20" s="171"/>
      <c r="L20" s="171"/>
      <c r="M20" s="259">
        <f>[2]!SEIP1071P260F2600</f>
        <v>0</v>
      </c>
      <c r="N20" s="170">
        <f t="shared" si="0"/>
        <v>0</v>
      </c>
      <c r="O20" s="362"/>
      <c r="P20" s="164">
        <v>10</v>
      </c>
    </row>
    <row r="21" spans="1:16" ht="12" customHeight="1">
      <c r="A21" s="165"/>
      <c r="B21" s="36"/>
      <c r="C21" s="209" t="s">
        <v>306</v>
      </c>
      <c r="D21" s="36"/>
      <c r="E21" s="208">
        <v>11</v>
      </c>
      <c r="F21" s="362"/>
      <c r="G21" s="299"/>
      <c r="H21" s="172"/>
      <c r="I21" s="172"/>
      <c r="J21" s="172"/>
      <c r="K21" s="172"/>
      <c r="L21" s="172"/>
      <c r="M21" s="257">
        <f>[2]!SEIP1071P260F2900</f>
        <v>0</v>
      </c>
      <c r="N21" s="170">
        <f t="shared" si="0"/>
        <v>0</v>
      </c>
      <c r="O21" s="362"/>
      <c r="P21" s="164">
        <v>11</v>
      </c>
    </row>
    <row r="22" spans="1:16" ht="12" customHeight="1">
      <c r="A22" s="210"/>
      <c r="B22" s="158" t="s">
        <v>276</v>
      </c>
      <c r="C22" s="242"/>
      <c r="D22" s="158"/>
      <c r="E22" s="205">
        <v>12</v>
      </c>
      <c r="F22" s="362"/>
      <c r="G22" s="301"/>
      <c r="H22" s="241">
        <f aca="true" t="shared" si="1" ref="H22:N22">SUM(H11:H21)</f>
        <v>0</v>
      </c>
      <c r="I22" s="241">
        <f t="shared" si="1"/>
        <v>0</v>
      </c>
      <c r="J22" s="241">
        <f t="shared" si="1"/>
        <v>0</v>
      </c>
      <c r="K22" s="241">
        <f t="shared" si="1"/>
        <v>0</v>
      </c>
      <c r="L22" s="241">
        <f t="shared" si="1"/>
        <v>0</v>
      </c>
      <c r="M22" s="257">
        <f t="shared" si="1"/>
        <v>0</v>
      </c>
      <c r="N22" s="241">
        <f t="shared" si="1"/>
        <v>0</v>
      </c>
      <c r="O22" s="362"/>
      <c r="P22" s="266">
        <v>12</v>
      </c>
    </row>
    <row r="23" spans="1:16" ht="12" customHeight="1">
      <c r="A23" s="165" t="s">
        <v>246</v>
      </c>
      <c r="B23" s="36"/>
      <c r="C23" s="209"/>
      <c r="D23" s="36"/>
      <c r="E23" s="208"/>
      <c r="F23" s="360"/>
      <c r="G23" s="641"/>
      <c r="H23" s="343"/>
      <c r="I23" s="343"/>
      <c r="J23" s="343"/>
      <c r="K23" s="343"/>
      <c r="L23" s="343"/>
      <c r="M23" s="627">
        <f>[2]!SEIP1071P430F2700</f>
        <v>0</v>
      </c>
      <c r="N23" s="632">
        <f>SUM(H25:L25)</f>
        <v>0</v>
      </c>
      <c r="O23" s="360"/>
      <c r="P23" s="164"/>
    </row>
    <row r="24" spans="1:16" ht="12" customHeight="1">
      <c r="A24" s="165"/>
      <c r="B24" s="36" t="s">
        <v>161</v>
      </c>
      <c r="C24" s="209"/>
      <c r="D24" s="36"/>
      <c r="E24" s="208"/>
      <c r="F24" s="363"/>
      <c r="G24" s="642"/>
      <c r="H24" s="346"/>
      <c r="I24" s="346"/>
      <c r="J24" s="346"/>
      <c r="K24" s="346"/>
      <c r="L24" s="346"/>
      <c r="M24" s="628"/>
      <c r="N24" s="633"/>
      <c r="O24" s="363"/>
      <c r="P24" s="164"/>
    </row>
    <row r="25" spans="1:16" ht="12" customHeight="1">
      <c r="A25" s="165"/>
      <c r="B25" s="36"/>
      <c r="C25" s="209" t="s">
        <v>266</v>
      </c>
      <c r="D25" s="36"/>
      <c r="E25" s="208">
        <v>13</v>
      </c>
      <c r="F25" s="361"/>
      <c r="G25" s="643"/>
      <c r="H25" s="344"/>
      <c r="I25" s="344"/>
      <c r="J25" s="344"/>
      <c r="K25" s="344"/>
      <c r="L25" s="344"/>
      <c r="M25" s="629"/>
      <c r="N25" s="634"/>
      <c r="O25" s="361"/>
      <c r="P25" s="266">
        <v>13</v>
      </c>
    </row>
    <row r="26" spans="1:16" ht="12" customHeight="1">
      <c r="A26" s="211" t="s">
        <v>439</v>
      </c>
      <c r="B26" s="212"/>
      <c r="C26" s="212"/>
      <c r="D26" s="212"/>
      <c r="E26" s="213">
        <v>14</v>
      </c>
      <c r="F26" s="310">
        <f>[1]!SEIP1071EndBal</f>
        <v>0</v>
      </c>
      <c r="G26" s="310">
        <f>G10</f>
        <v>0</v>
      </c>
      <c r="H26" s="170">
        <f aca="true" t="shared" si="2" ref="H26:N26">SUM(H22:H25)</f>
        <v>0</v>
      </c>
      <c r="I26" s="170">
        <f t="shared" si="2"/>
        <v>0</v>
      </c>
      <c r="J26" s="170">
        <f t="shared" si="2"/>
        <v>0</v>
      </c>
      <c r="K26" s="170">
        <f t="shared" si="2"/>
        <v>0</v>
      </c>
      <c r="L26" s="170">
        <f t="shared" si="2"/>
        <v>0</v>
      </c>
      <c r="M26" s="259">
        <f t="shared" si="2"/>
        <v>0</v>
      </c>
      <c r="N26" s="170">
        <f t="shared" si="2"/>
        <v>0</v>
      </c>
      <c r="O26" s="336">
        <f>F26+G26-N26</f>
        <v>0</v>
      </c>
      <c r="P26" s="266">
        <v>14</v>
      </c>
    </row>
    <row r="27" spans="1:16" ht="9" customHeight="1">
      <c r="A27" s="636"/>
      <c r="B27" s="636"/>
      <c r="C27" s="636"/>
      <c r="D27" s="636"/>
      <c r="E27" s="636"/>
      <c r="F27" s="636"/>
      <c r="G27" s="636"/>
      <c r="H27" s="636"/>
      <c r="I27" s="636"/>
      <c r="J27" s="637"/>
      <c r="K27" s="637"/>
      <c r="L27" s="637"/>
      <c r="M27" s="36"/>
      <c r="N27" s="36"/>
      <c r="O27" s="36"/>
      <c r="P27" s="36"/>
    </row>
    <row r="28" spans="1:16" ht="11.25" customHeight="1">
      <c r="A28" s="198" t="s">
        <v>230</v>
      </c>
      <c r="B28" s="163"/>
      <c r="C28" s="163"/>
      <c r="D28" s="262"/>
      <c r="E28" s="207"/>
      <c r="F28" s="619"/>
      <c r="G28" s="641"/>
      <c r="H28" s="638"/>
      <c r="I28" s="638"/>
      <c r="J28" s="638"/>
      <c r="K28" s="638"/>
      <c r="L28" s="640"/>
      <c r="M28" s="648"/>
      <c r="N28" s="648"/>
      <c r="O28" s="619"/>
      <c r="P28" s="209"/>
    </row>
    <row r="29" spans="1:16" ht="11.25" customHeight="1">
      <c r="A29" s="289" t="s">
        <v>175</v>
      </c>
      <c r="B29" s="36"/>
      <c r="C29" s="36"/>
      <c r="D29" s="209"/>
      <c r="E29" s="208"/>
      <c r="F29" s="620"/>
      <c r="G29" s="642"/>
      <c r="H29" s="639"/>
      <c r="I29" s="639"/>
      <c r="J29" s="639"/>
      <c r="K29" s="639"/>
      <c r="L29" s="640"/>
      <c r="M29" s="648"/>
      <c r="N29" s="648"/>
      <c r="O29" s="620"/>
      <c r="P29" s="209"/>
    </row>
    <row r="30" spans="1:16" ht="12" customHeight="1">
      <c r="A30" s="289"/>
      <c r="B30" s="209" t="s">
        <v>269</v>
      </c>
      <c r="C30" s="36"/>
      <c r="D30" s="209"/>
      <c r="E30" s="208">
        <v>15</v>
      </c>
      <c r="F30" s="303"/>
      <c r="G30" s="337"/>
      <c r="H30" s="293"/>
      <c r="I30" s="293"/>
      <c r="J30" s="293"/>
      <c r="K30" s="293"/>
      <c r="L30" s="302"/>
      <c r="M30" s="293"/>
      <c r="N30" s="293"/>
      <c r="O30" s="303"/>
      <c r="P30" s="266">
        <v>15</v>
      </c>
    </row>
    <row r="31" spans="1:16" ht="12" customHeight="1">
      <c r="A31" s="289"/>
      <c r="B31" s="209" t="s">
        <v>271</v>
      </c>
      <c r="C31" s="36"/>
      <c r="D31" s="209"/>
      <c r="E31" s="208">
        <v>16</v>
      </c>
      <c r="F31" s="303"/>
      <c r="G31" s="239"/>
      <c r="H31" s="293"/>
      <c r="I31" s="293"/>
      <c r="J31" s="293"/>
      <c r="K31" s="293"/>
      <c r="L31" s="293"/>
      <c r="M31" s="293"/>
      <c r="N31" s="293"/>
      <c r="O31" s="303"/>
      <c r="P31" s="266">
        <v>16</v>
      </c>
    </row>
    <row r="32" spans="1:16" ht="12" customHeight="1">
      <c r="A32" s="168" t="s">
        <v>287</v>
      </c>
      <c r="B32" s="36"/>
      <c r="C32" s="36"/>
      <c r="D32" s="209"/>
      <c r="E32" s="208">
        <v>17</v>
      </c>
      <c r="F32" s="305"/>
      <c r="G32" s="290">
        <f>SUM(G30:G31)</f>
        <v>0</v>
      </c>
      <c r="H32" s="304"/>
      <c r="I32" s="304"/>
      <c r="J32" s="304"/>
      <c r="K32" s="304"/>
      <c r="L32" s="304"/>
      <c r="M32" s="304"/>
      <c r="N32" s="304"/>
      <c r="O32" s="305"/>
      <c r="P32" s="266">
        <v>17</v>
      </c>
    </row>
    <row r="33" spans="1:16" ht="11.25" customHeight="1">
      <c r="A33" s="289" t="s">
        <v>113</v>
      </c>
      <c r="B33" s="36"/>
      <c r="C33" s="36"/>
      <c r="D33" s="209"/>
      <c r="E33" s="298"/>
      <c r="F33" s="357"/>
      <c r="G33" s="306"/>
      <c r="H33" s="290"/>
      <c r="I33" s="290"/>
      <c r="J33" s="290"/>
      <c r="K33" s="290"/>
      <c r="L33" s="290"/>
      <c r="M33" s="618">
        <f>[2]!CIP1072P265F1000</f>
        <v>0</v>
      </c>
      <c r="N33" s="618">
        <f>SUM(H35:L35)</f>
        <v>0</v>
      </c>
      <c r="O33" s="357"/>
      <c r="P33" s="209"/>
    </row>
    <row r="34" spans="1:16" ht="12" customHeight="1">
      <c r="A34" s="165" t="s">
        <v>280</v>
      </c>
      <c r="B34" s="36"/>
      <c r="C34" s="36"/>
      <c r="D34" s="209"/>
      <c r="E34" s="298"/>
      <c r="F34" s="358"/>
      <c r="G34" s="307"/>
      <c r="H34" s="345"/>
      <c r="I34" s="345"/>
      <c r="J34" s="345"/>
      <c r="K34" s="345"/>
      <c r="L34" s="345"/>
      <c r="M34" s="618"/>
      <c r="N34" s="618"/>
      <c r="O34" s="358"/>
      <c r="P34" s="209"/>
    </row>
    <row r="35" spans="1:16" ht="12" customHeight="1">
      <c r="A35" s="165"/>
      <c r="B35" s="36" t="s">
        <v>201</v>
      </c>
      <c r="C35" s="36"/>
      <c r="D35" s="209"/>
      <c r="E35" s="298">
        <v>18</v>
      </c>
      <c r="F35" s="359"/>
      <c r="G35" s="308"/>
      <c r="H35" s="356"/>
      <c r="I35" s="356"/>
      <c r="J35" s="356"/>
      <c r="K35" s="356"/>
      <c r="L35" s="356"/>
      <c r="M35" s="618"/>
      <c r="N35" s="618"/>
      <c r="O35" s="359"/>
      <c r="P35" s="266">
        <v>18</v>
      </c>
    </row>
    <row r="36" spans="1:16" ht="12" customHeight="1">
      <c r="A36" s="165"/>
      <c r="B36" s="209" t="s">
        <v>161</v>
      </c>
      <c r="C36" s="36"/>
      <c r="D36" s="209"/>
      <c r="E36" s="208"/>
      <c r="F36" s="360"/>
      <c r="G36" s="642"/>
      <c r="H36" s="290"/>
      <c r="I36" s="290"/>
      <c r="J36" s="290"/>
      <c r="K36" s="290"/>
      <c r="L36" s="290"/>
      <c r="M36" s="628">
        <f>[2]!CIP1072P265F2100</f>
        <v>0</v>
      </c>
      <c r="N36" s="628">
        <f>SUM(H37:L37)</f>
        <v>0</v>
      </c>
      <c r="O36" s="360"/>
      <c r="P36" s="266"/>
    </row>
    <row r="37" spans="1:16" ht="12" customHeight="1">
      <c r="A37" s="165"/>
      <c r="B37" s="36"/>
      <c r="C37" s="36" t="s">
        <v>202</v>
      </c>
      <c r="D37" s="209"/>
      <c r="E37" s="208">
        <v>19</v>
      </c>
      <c r="F37" s="361"/>
      <c r="G37" s="642"/>
      <c r="H37" s="356"/>
      <c r="I37" s="356"/>
      <c r="J37" s="356"/>
      <c r="K37" s="356"/>
      <c r="L37" s="356"/>
      <c r="M37" s="629"/>
      <c r="N37" s="629"/>
      <c r="O37" s="361"/>
      <c r="P37" s="266">
        <v>19</v>
      </c>
    </row>
    <row r="38" spans="1:16" ht="12" customHeight="1">
      <c r="A38" s="165"/>
      <c r="B38" s="36"/>
      <c r="C38" s="36" t="s">
        <v>243</v>
      </c>
      <c r="D38" s="209"/>
      <c r="E38" s="208">
        <v>20</v>
      </c>
      <c r="F38" s="362"/>
      <c r="G38" s="299"/>
      <c r="H38" s="263"/>
      <c r="I38" s="263"/>
      <c r="J38" s="263"/>
      <c r="K38" s="263"/>
      <c r="L38" s="263"/>
      <c r="M38" s="258">
        <f>[2]!CIP1072P265F2200</f>
        <v>0</v>
      </c>
      <c r="N38" s="259">
        <f aca="true" t="shared" si="3" ref="N38:N43">SUM(H38:L38)</f>
        <v>0</v>
      </c>
      <c r="O38" s="362"/>
      <c r="P38" s="266">
        <v>20</v>
      </c>
    </row>
    <row r="39" spans="1:16" ht="12" customHeight="1">
      <c r="A39" s="165"/>
      <c r="B39" s="36"/>
      <c r="C39" s="36" t="s">
        <v>203</v>
      </c>
      <c r="D39" s="209"/>
      <c r="E39" s="208">
        <v>21</v>
      </c>
      <c r="F39" s="362"/>
      <c r="G39" s="299"/>
      <c r="H39" s="263"/>
      <c r="I39" s="263"/>
      <c r="J39" s="263"/>
      <c r="K39" s="263"/>
      <c r="L39" s="263"/>
      <c r="M39" s="258">
        <f>[2]!CIP1072P265F2300</f>
        <v>0</v>
      </c>
      <c r="N39" s="259">
        <f t="shared" si="3"/>
        <v>0</v>
      </c>
      <c r="O39" s="362"/>
      <c r="P39" s="266">
        <v>21</v>
      </c>
    </row>
    <row r="40" spans="1:16" ht="12" customHeight="1">
      <c r="A40" s="165"/>
      <c r="B40" s="36"/>
      <c r="C40" s="36" t="s">
        <v>204</v>
      </c>
      <c r="D40" s="209"/>
      <c r="E40" s="208">
        <v>22</v>
      </c>
      <c r="F40" s="362"/>
      <c r="G40" s="299"/>
      <c r="H40" s="263"/>
      <c r="I40" s="263"/>
      <c r="J40" s="263"/>
      <c r="K40" s="263"/>
      <c r="L40" s="263"/>
      <c r="M40" s="258">
        <f>[2]!CIP1072P265F2400</f>
        <v>0</v>
      </c>
      <c r="N40" s="259">
        <f t="shared" si="3"/>
        <v>0</v>
      </c>
      <c r="O40" s="362"/>
      <c r="P40" s="266">
        <v>22</v>
      </c>
    </row>
    <row r="41" spans="1:16" ht="12" customHeight="1">
      <c r="A41" s="165"/>
      <c r="B41" s="36"/>
      <c r="C41" s="209" t="s">
        <v>244</v>
      </c>
      <c r="D41" s="209"/>
      <c r="E41" s="208">
        <v>23</v>
      </c>
      <c r="F41" s="362"/>
      <c r="G41" s="299"/>
      <c r="H41" s="263"/>
      <c r="I41" s="263"/>
      <c r="J41" s="263"/>
      <c r="K41" s="263"/>
      <c r="L41" s="263"/>
      <c r="M41" s="258">
        <f>[2]!CIP1072P265F2500</f>
        <v>0</v>
      </c>
      <c r="N41" s="259">
        <f t="shared" si="3"/>
        <v>0</v>
      </c>
      <c r="O41" s="362"/>
      <c r="P41" s="266">
        <v>23</v>
      </c>
    </row>
    <row r="42" spans="1:16" ht="12" customHeight="1">
      <c r="A42" s="165"/>
      <c r="B42" s="36"/>
      <c r="C42" s="209" t="s">
        <v>305</v>
      </c>
      <c r="D42" s="209"/>
      <c r="E42" s="208">
        <v>24</v>
      </c>
      <c r="F42" s="362"/>
      <c r="G42" s="299"/>
      <c r="H42" s="264"/>
      <c r="I42" s="264"/>
      <c r="J42" s="264"/>
      <c r="K42" s="264"/>
      <c r="L42" s="264"/>
      <c r="M42" s="259">
        <f>[2]!CIP1072P265F2600</f>
        <v>0</v>
      </c>
      <c r="N42" s="259">
        <f t="shared" si="3"/>
        <v>0</v>
      </c>
      <c r="O42" s="362"/>
      <c r="P42" s="266">
        <v>24</v>
      </c>
    </row>
    <row r="43" spans="1:16" ht="12" customHeight="1">
      <c r="A43" s="165"/>
      <c r="B43" s="36"/>
      <c r="C43" s="209" t="s">
        <v>306</v>
      </c>
      <c r="D43" s="209"/>
      <c r="E43" s="208">
        <v>25</v>
      </c>
      <c r="F43" s="362"/>
      <c r="G43" s="299"/>
      <c r="H43" s="265"/>
      <c r="I43" s="265"/>
      <c r="J43" s="265"/>
      <c r="K43" s="265"/>
      <c r="L43" s="265"/>
      <c r="M43" s="257">
        <f>[2]!CIP1072P265F2900</f>
        <v>0</v>
      </c>
      <c r="N43" s="259">
        <f t="shared" si="3"/>
        <v>0</v>
      </c>
      <c r="O43" s="362"/>
      <c r="P43" s="266">
        <v>25</v>
      </c>
    </row>
    <row r="44" spans="1:16" ht="12" customHeight="1">
      <c r="A44" s="210"/>
      <c r="B44" s="158" t="s">
        <v>286</v>
      </c>
      <c r="C44" s="242"/>
      <c r="D44" s="242"/>
      <c r="E44" s="205">
        <v>26</v>
      </c>
      <c r="F44" s="362"/>
      <c r="G44" s="299"/>
      <c r="H44" s="257">
        <f aca="true" t="shared" si="4" ref="H44:N44">SUM(H33:H43)</f>
        <v>0</v>
      </c>
      <c r="I44" s="257">
        <f t="shared" si="4"/>
        <v>0</v>
      </c>
      <c r="J44" s="257">
        <f t="shared" si="4"/>
        <v>0</v>
      </c>
      <c r="K44" s="257">
        <f t="shared" si="4"/>
        <v>0</v>
      </c>
      <c r="L44" s="257">
        <f t="shared" si="4"/>
        <v>0</v>
      </c>
      <c r="M44" s="257">
        <f t="shared" si="4"/>
        <v>0</v>
      </c>
      <c r="N44" s="257">
        <f t="shared" si="4"/>
        <v>0</v>
      </c>
      <c r="O44" s="362"/>
      <c r="P44" s="266">
        <v>26</v>
      </c>
    </row>
    <row r="45" spans="1:16" ht="12" customHeight="1">
      <c r="A45" s="165" t="s">
        <v>277</v>
      </c>
      <c r="B45" s="36"/>
      <c r="C45" s="209"/>
      <c r="D45" s="209"/>
      <c r="E45" s="208"/>
      <c r="F45" s="360"/>
      <c r="G45" s="641"/>
      <c r="H45" s="290"/>
      <c r="I45" s="290"/>
      <c r="J45" s="290"/>
      <c r="K45" s="290"/>
      <c r="L45" s="290"/>
      <c r="M45" s="627">
        <f>[2]!CIP1072P435F2700</f>
        <v>0</v>
      </c>
      <c r="N45" s="627">
        <f>SUM(H47:L47)</f>
        <v>0</v>
      </c>
      <c r="O45" s="360"/>
      <c r="P45" s="266"/>
    </row>
    <row r="46" spans="1:16" ht="12" customHeight="1">
      <c r="A46" s="165"/>
      <c r="B46" s="36" t="s">
        <v>161</v>
      </c>
      <c r="C46" s="209"/>
      <c r="D46" s="209"/>
      <c r="E46" s="208"/>
      <c r="F46" s="363"/>
      <c r="G46" s="642"/>
      <c r="H46" s="345"/>
      <c r="I46" s="345"/>
      <c r="J46" s="345"/>
      <c r="K46" s="345"/>
      <c r="L46" s="345"/>
      <c r="M46" s="628"/>
      <c r="N46" s="628"/>
      <c r="O46" s="363"/>
      <c r="P46" s="266"/>
    </row>
    <row r="47" spans="1:16" ht="12" customHeight="1">
      <c r="A47" s="165"/>
      <c r="B47" s="36"/>
      <c r="C47" s="209" t="s">
        <v>266</v>
      </c>
      <c r="D47" s="209"/>
      <c r="E47" s="208">
        <v>27</v>
      </c>
      <c r="F47" s="361"/>
      <c r="G47" s="643"/>
      <c r="H47" s="356"/>
      <c r="I47" s="356"/>
      <c r="J47" s="356"/>
      <c r="K47" s="356"/>
      <c r="L47" s="356"/>
      <c r="M47" s="629"/>
      <c r="N47" s="629"/>
      <c r="O47" s="361"/>
      <c r="P47" s="266">
        <v>27</v>
      </c>
    </row>
    <row r="48" spans="1:16" ht="12" customHeight="1">
      <c r="A48" s="268" t="s">
        <v>440</v>
      </c>
      <c r="B48" s="267"/>
      <c r="C48" s="267"/>
      <c r="D48" s="267"/>
      <c r="E48" s="213">
        <v>28</v>
      </c>
      <c r="F48" s="310">
        <f>[1]!CIP1072EndBal</f>
        <v>0</v>
      </c>
      <c r="G48" s="310">
        <f>G32</f>
        <v>0</v>
      </c>
      <c r="H48" s="259">
        <f>SUM(H44:H47)</f>
        <v>0</v>
      </c>
      <c r="I48" s="259">
        <f aca="true" t="shared" si="5" ref="I48:N48">SUM(I44:I47)</f>
        <v>0</v>
      </c>
      <c r="J48" s="259">
        <f t="shared" si="5"/>
        <v>0</v>
      </c>
      <c r="K48" s="259">
        <f t="shared" si="5"/>
        <v>0</v>
      </c>
      <c r="L48" s="259">
        <f t="shared" si="5"/>
        <v>0</v>
      </c>
      <c r="M48" s="259">
        <f t="shared" si="5"/>
        <v>0</v>
      </c>
      <c r="N48" s="259">
        <f t="shared" si="5"/>
        <v>0</v>
      </c>
      <c r="O48" s="336">
        <f>F48+G48-N48</f>
        <v>0</v>
      </c>
      <c r="P48" s="266">
        <v>28</v>
      </c>
    </row>
  </sheetData>
  <sheetProtection sheet="1" formatCells="0" formatColumns="0" formatRows="0"/>
  <mergeCells count="40">
    <mergeCell ref="G45:G47"/>
    <mergeCell ref="M28:M29"/>
    <mergeCell ref="N28:N29"/>
    <mergeCell ref="O28:O29"/>
    <mergeCell ref="N14:N15"/>
    <mergeCell ref="G28:G29"/>
    <mergeCell ref="G36:G37"/>
    <mergeCell ref="H28:H29"/>
    <mergeCell ref="I28:I29"/>
    <mergeCell ref="J28:J29"/>
    <mergeCell ref="K28:K29"/>
    <mergeCell ref="L28:L29"/>
    <mergeCell ref="M6:M7"/>
    <mergeCell ref="O6:O7"/>
    <mergeCell ref="G11:G13"/>
    <mergeCell ref="G23:G25"/>
    <mergeCell ref="M11:M13"/>
    <mergeCell ref="N11:N13"/>
    <mergeCell ref="G14:G15"/>
    <mergeCell ref="G6:G7"/>
    <mergeCell ref="D1:E1"/>
    <mergeCell ref="J1:K1"/>
    <mergeCell ref="A27:L27"/>
    <mergeCell ref="N45:N47"/>
    <mergeCell ref="M36:M37"/>
    <mergeCell ref="N36:N37"/>
    <mergeCell ref="M33:M35"/>
    <mergeCell ref="H6:H7"/>
    <mergeCell ref="I6:I7"/>
    <mergeCell ref="J6:J7"/>
    <mergeCell ref="N33:N35"/>
    <mergeCell ref="F28:F29"/>
    <mergeCell ref="F6:F7"/>
    <mergeCell ref="M3:N3"/>
    <mergeCell ref="M14:M15"/>
    <mergeCell ref="M45:M47"/>
    <mergeCell ref="K6:K7"/>
    <mergeCell ref="L6:L7"/>
    <mergeCell ref="N23:N25"/>
    <mergeCell ref="M23:M25"/>
  </mergeCells>
  <printOptions/>
  <pageMargins left="0.75" right="0.25" top="0.25" bottom="0.25" header="0.5" footer="0.15"/>
  <pageSetup fitToHeight="1" fitToWidth="1" horizontalDpi="600" verticalDpi="600" orientation="landscape" scale="78" r:id="rId1"/>
  <headerFooter>
    <oddFooter>&amp;LRev. 8/18&amp;CFY 2018&amp;RPage 6 of 10</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V37"/>
  <sheetViews>
    <sheetView showGridLines="0" workbookViewId="0" topLeftCell="A24">
      <selection activeCell="G34" sqref="G34"/>
    </sheetView>
  </sheetViews>
  <sheetFormatPr defaultColWidth="9.33203125" defaultRowHeight="12.75"/>
  <cols>
    <col min="1" max="1" width="3.83203125" style="3" customWidth="1"/>
    <col min="2" max="2" width="30.5" style="3" customWidth="1"/>
    <col min="3" max="3" width="2.16015625" style="3" customWidth="1"/>
    <col min="4" max="4" width="13.83203125" style="3" bestFit="1" customWidth="1"/>
    <col min="5" max="5" width="3" style="3" customWidth="1"/>
    <col min="6" max="7" width="12.83203125" style="3" customWidth="1"/>
    <col min="8" max="8" width="3.33203125" style="3" customWidth="1"/>
    <col min="9" max="9" width="3.83203125" style="3" customWidth="1"/>
    <col min="10" max="10" width="2.5" style="3" customWidth="1"/>
    <col min="11" max="11" width="6.5" style="3" customWidth="1"/>
    <col min="12" max="12" width="16" style="3" bestFit="1" customWidth="1"/>
    <col min="13" max="14" width="4.83203125" style="3" customWidth="1"/>
    <col min="15" max="15" width="7.5" style="3" customWidth="1"/>
    <col min="16" max="16" width="6.83203125" style="3" customWidth="1"/>
    <col min="17" max="17" width="9.66015625" style="3" customWidth="1"/>
    <col min="18" max="18" width="17" style="3" customWidth="1"/>
    <col min="19" max="19" width="15" style="3" customWidth="1"/>
    <col min="20" max="20" width="15.5" style="3" customWidth="1"/>
    <col min="21" max="21" width="12.83203125" style="3" customWidth="1"/>
    <col min="22" max="22" width="15.83203125" style="3" customWidth="1"/>
    <col min="23" max="16384" width="9.33203125" style="3" customWidth="1"/>
  </cols>
  <sheetData>
    <row r="1" spans="1:21" ht="12" customHeight="1">
      <c r="A1" s="1" t="s">
        <v>0</v>
      </c>
      <c r="C1" s="566" t="str">
        <f>'Cover Page'!D1</f>
        <v>NORTH STAR CHARTER SCHOOL, INC.</v>
      </c>
      <c r="D1" s="566"/>
      <c r="E1" s="566"/>
      <c r="F1" s="566"/>
      <c r="G1" s="2"/>
      <c r="H1" s="3" t="s">
        <v>3</v>
      </c>
      <c r="I1" s="1" t="s">
        <v>1</v>
      </c>
      <c r="L1" s="11" t="str">
        <f>'Cover Page'!M1</f>
        <v>MARICOPA</v>
      </c>
      <c r="T1" s="4" t="s">
        <v>138</v>
      </c>
      <c r="U1" s="246" t="str">
        <f>'Cover Page'!R1</f>
        <v>078945000</v>
      </c>
    </row>
    <row r="2" spans="20:21" ht="12.75" hidden="1">
      <c r="T2" s="7"/>
      <c r="U2" s="7"/>
    </row>
    <row r="3" ht="12.75">
      <c r="V3" s="372"/>
    </row>
    <row r="4" spans="1:21" ht="12.75">
      <c r="A4" s="6" t="s">
        <v>50</v>
      </c>
      <c r="B4" s="7"/>
      <c r="C4" s="7"/>
      <c r="D4" s="7"/>
      <c r="E4" s="7"/>
      <c r="F4" s="7"/>
      <c r="G4" s="7"/>
      <c r="H4" s="7"/>
      <c r="I4" s="7"/>
      <c r="J4" s="7"/>
      <c r="K4" s="7"/>
      <c r="L4" s="7"/>
      <c r="M4" s="7"/>
      <c r="N4" s="7"/>
      <c r="O4" s="7"/>
      <c r="P4" s="7"/>
      <c r="Q4" s="7"/>
      <c r="R4" s="7"/>
      <c r="S4" s="7"/>
      <c r="T4" s="7"/>
      <c r="U4" s="7"/>
    </row>
    <row r="5" spans="4:21" ht="12.75">
      <c r="D5" s="243">
        <v>42917</v>
      </c>
      <c r="E5" s="47"/>
      <c r="F5" s="243">
        <v>43281</v>
      </c>
      <c r="U5" s="2"/>
    </row>
    <row r="6" spans="1:20" ht="12.75">
      <c r="A6" s="3" t="s">
        <v>51</v>
      </c>
      <c r="B6" s="3" t="s">
        <v>57</v>
      </c>
      <c r="C6" s="10" t="s">
        <v>52</v>
      </c>
      <c r="D6" s="338">
        <v>174539</v>
      </c>
      <c r="E6" s="10" t="s">
        <v>52</v>
      </c>
      <c r="F6" s="13">
        <v>232281</v>
      </c>
      <c r="I6" s="3" t="s">
        <v>183</v>
      </c>
      <c r="J6" s="457" t="s">
        <v>6</v>
      </c>
      <c r="K6" s="452" t="s">
        <v>225</v>
      </c>
      <c r="L6" s="457"/>
      <c r="M6" s="452"/>
      <c r="N6" s="457"/>
      <c r="O6" s="452"/>
      <c r="P6" s="457"/>
      <c r="Q6" s="452"/>
      <c r="T6" s="13">
        <v>4</v>
      </c>
    </row>
    <row r="7" spans="1:20" ht="12.75">
      <c r="A7" s="228"/>
      <c r="B7" s="228"/>
      <c r="C7" s="228"/>
      <c r="D7" s="512"/>
      <c r="E7" s="228"/>
      <c r="F7" s="512"/>
      <c r="J7" s="457" t="s">
        <v>7</v>
      </c>
      <c r="K7" s="452" t="s">
        <v>226</v>
      </c>
      <c r="L7" s="457"/>
      <c r="M7" s="452"/>
      <c r="N7" s="457"/>
      <c r="O7" s="452"/>
      <c r="P7" s="457"/>
      <c r="Q7" s="452"/>
      <c r="T7" s="13">
        <v>3</v>
      </c>
    </row>
    <row r="8" spans="1:20" ht="12.75">
      <c r="A8" s="47" t="s">
        <v>56</v>
      </c>
      <c r="B8" s="452" t="s">
        <v>59</v>
      </c>
      <c r="C8" s="48"/>
      <c r="D8" s="47"/>
      <c r="E8" s="48"/>
      <c r="F8" s="367" t="s">
        <v>35</v>
      </c>
      <c r="G8" s="367" t="s">
        <v>4</v>
      </c>
      <c r="J8" s="457" t="s">
        <v>8</v>
      </c>
      <c r="K8" s="452" t="s">
        <v>227</v>
      </c>
      <c r="L8" s="457"/>
      <c r="M8" s="452"/>
      <c r="N8" s="457"/>
      <c r="O8" s="452"/>
      <c r="P8" s="457"/>
      <c r="Q8" s="452"/>
      <c r="T8" s="236"/>
    </row>
    <row r="9" spans="1:20" ht="12.75">
      <c r="A9" s="47"/>
      <c r="B9" s="47" t="s">
        <v>114</v>
      </c>
      <c r="C9" s="48"/>
      <c r="D9" s="47"/>
      <c r="E9" s="48"/>
      <c r="F9" s="67">
        <v>12000</v>
      </c>
      <c r="G9" s="67">
        <v>12000</v>
      </c>
      <c r="J9" s="72" t="s">
        <v>9</v>
      </c>
      <c r="K9" s="3" t="s">
        <v>53</v>
      </c>
      <c r="T9" s="14">
        <v>1</v>
      </c>
    </row>
    <row r="10" spans="1:20" ht="13.5" thickBot="1">
      <c r="A10" s="47"/>
      <c r="B10" s="47" t="s">
        <v>115</v>
      </c>
      <c r="C10" s="47"/>
      <c r="D10" s="47"/>
      <c r="E10" s="47"/>
      <c r="F10" s="68"/>
      <c r="G10" s="68"/>
      <c r="J10" s="72" t="s">
        <v>10</v>
      </c>
      <c r="K10" s="3" t="s">
        <v>54</v>
      </c>
      <c r="T10" s="13">
        <v>180</v>
      </c>
    </row>
    <row r="11" spans="1:20" ht="13.5" thickBot="1">
      <c r="A11" s="47"/>
      <c r="B11" s="47" t="s">
        <v>133</v>
      </c>
      <c r="C11" s="47"/>
      <c r="D11" s="47"/>
      <c r="E11" s="47"/>
      <c r="F11" s="73">
        <f>SUM(F9:F10)</f>
        <v>12000</v>
      </c>
      <c r="G11" s="69">
        <f>SUM(G9:G10)</f>
        <v>12000</v>
      </c>
      <c r="J11" s="87" t="s">
        <v>11</v>
      </c>
      <c r="K11" s="3" t="s">
        <v>314</v>
      </c>
      <c r="S11" s="10" t="s">
        <v>52</v>
      </c>
      <c r="T11" s="14"/>
    </row>
    <row r="12" spans="10:20" ht="13.5" thickTop="1">
      <c r="J12" s="87" t="s">
        <v>12</v>
      </c>
      <c r="K12" s="3" t="s">
        <v>267</v>
      </c>
      <c r="S12" s="10" t="s">
        <v>52</v>
      </c>
      <c r="T12" s="14"/>
    </row>
    <row r="13" spans="1:20" ht="12.75">
      <c r="A13" s="3" t="s">
        <v>58</v>
      </c>
      <c r="B13" s="452" t="s">
        <v>61</v>
      </c>
      <c r="F13" s="21" t="s">
        <v>35</v>
      </c>
      <c r="G13" s="21" t="s">
        <v>4</v>
      </c>
      <c r="J13" s="87" t="s">
        <v>14</v>
      </c>
      <c r="K13" s="3" t="s">
        <v>256</v>
      </c>
      <c r="S13" s="10" t="s">
        <v>52</v>
      </c>
      <c r="T13" s="238"/>
    </row>
    <row r="14" spans="2:21" ht="12.75">
      <c r="B14" s="47" t="s">
        <v>247</v>
      </c>
      <c r="C14" s="47"/>
      <c r="D14" s="47"/>
      <c r="E14" s="47"/>
      <c r="F14" s="182">
        <f>[2]!CA0191Land</f>
        <v>0</v>
      </c>
      <c r="G14" s="17">
        <v>0</v>
      </c>
      <c r="J14" s="87"/>
      <c r="T14" s="10"/>
      <c r="U14" s="507"/>
    </row>
    <row r="15" spans="2:21" ht="12.75">
      <c r="B15" s="47" t="s">
        <v>248</v>
      </c>
      <c r="C15" s="47"/>
      <c r="D15" s="47"/>
      <c r="E15" s="47"/>
      <c r="F15" s="182">
        <f>[2]!CA0192SiteImprovements</f>
        <v>0</v>
      </c>
      <c r="G15" s="17">
        <v>0</v>
      </c>
      <c r="J15" s="47"/>
      <c r="K15" s="47"/>
      <c r="L15" s="47"/>
      <c r="M15" s="47"/>
      <c r="N15" s="47"/>
      <c r="O15" s="47"/>
      <c r="P15" s="47"/>
      <c r="Q15" s="47"/>
      <c r="R15" s="47"/>
      <c r="S15" s="47"/>
      <c r="T15" s="47"/>
      <c r="U15" s="47"/>
    </row>
    <row r="16" spans="2:20" ht="12.75" customHeight="1">
      <c r="B16" s="47" t="s">
        <v>249</v>
      </c>
      <c r="C16" s="47"/>
      <c r="D16" s="47"/>
      <c r="E16" s="47"/>
      <c r="F16" s="182">
        <f>[2]!CA0194Buildings</f>
        <v>0</v>
      </c>
      <c r="G16" s="17">
        <v>0</v>
      </c>
      <c r="M16" s="649" t="s">
        <v>291</v>
      </c>
      <c r="N16" s="650"/>
      <c r="O16" s="651"/>
      <c r="P16" s="649" t="s">
        <v>294</v>
      </c>
      <c r="Q16" s="651"/>
      <c r="R16" s="514" t="s">
        <v>291</v>
      </c>
      <c r="S16" s="514" t="s">
        <v>294</v>
      </c>
      <c r="T16" s="514" t="s">
        <v>298</v>
      </c>
    </row>
    <row r="17" spans="2:21" ht="12.75" customHeight="1">
      <c r="B17" s="47" t="s">
        <v>250</v>
      </c>
      <c r="C17" s="47"/>
      <c r="D17" s="47"/>
      <c r="E17" s="47"/>
      <c r="F17" s="182">
        <f>[2]!CA0196Equipment</f>
        <v>0</v>
      </c>
      <c r="G17" s="17">
        <v>24000</v>
      </c>
      <c r="I17" s="3" t="s">
        <v>55</v>
      </c>
      <c r="J17" s="452" t="s">
        <v>374</v>
      </c>
      <c r="K17" s="452"/>
      <c r="L17" s="452"/>
      <c r="M17" s="657" t="s">
        <v>290</v>
      </c>
      <c r="N17" s="658"/>
      <c r="O17" s="659"/>
      <c r="P17" s="657" t="s">
        <v>290</v>
      </c>
      <c r="Q17" s="659"/>
      <c r="R17" s="510" t="s">
        <v>295</v>
      </c>
      <c r="S17" s="510" t="s">
        <v>295</v>
      </c>
      <c r="T17" s="510" t="s">
        <v>290</v>
      </c>
      <c r="U17" s="2"/>
    </row>
    <row r="18" spans="2:21" ht="12.75" customHeight="1" thickBot="1">
      <c r="B18" s="452" t="s">
        <v>251</v>
      </c>
      <c r="C18" s="47"/>
      <c r="D18" s="47"/>
      <c r="E18" s="47"/>
      <c r="F18" s="182">
        <f>[2]!CA0198CIP</f>
        <v>0</v>
      </c>
      <c r="G18" s="18">
        <v>0</v>
      </c>
      <c r="J18" s="452" t="s">
        <v>228</v>
      </c>
      <c r="K18" s="452"/>
      <c r="L18" s="452"/>
      <c r="M18" s="661" t="s">
        <v>292</v>
      </c>
      <c r="N18" s="665"/>
      <c r="O18" s="662"/>
      <c r="P18" s="661" t="s">
        <v>293</v>
      </c>
      <c r="Q18" s="662"/>
      <c r="R18" s="511" t="s">
        <v>296</v>
      </c>
      <c r="S18" s="511" t="s">
        <v>297</v>
      </c>
      <c r="T18" s="511" t="s">
        <v>299</v>
      </c>
      <c r="U18" s="2"/>
    </row>
    <row r="19" spans="2:21" ht="12.75" customHeight="1" thickBot="1">
      <c r="B19" t="s">
        <v>307</v>
      </c>
      <c r="C19"/>
      <c r="D19"/>
      <c r="E19" s="47"/>
      <c r="F19" s="69">
        <f>SUM(F14:F18)</f>
        <v>0</v>
      </c>
      <c r="G19" s="19">
        <f>SUM(G14:G18)</f>
        <v>24000</v>
      </c>
      <c r="J19" s="457" t="s">
        <v>6</v>
      </c>
      <c r="K19" s="452" t="s">
        <v>373</v>
      </c>
      <c r="L19" s="452"/>
      <c r="M19" s="654">
        <v>157190</v>
      </c>
      <c r="N19" s="655"/>
      <c r="O19" s="656"/>
      <c r="P19" s="654">
        <v>98451</v>
      </c>
      <c r="Q19" s="655"/>
      <c r="R19" s="237"/>
      <c r="S19" s="237"/>
      <c r="T19" s="237"/>
      <c r="U19" s="2"/>
    </row>
    <row r="20" spans="10:21" ht="13.5" customHeight="1" thickTop="1">
      <c r="J20" s="457" t="s">
        <v>7</v>
      </c>
      <c r="K20" s="452" t="s">
        <v>372</v>
      </c>
      <c r="L20" s="452"/>
      <c r="M20" s="654">
        <v>34000</v>
      </c>
      <c r="N20" s="655"/>
      <c r="O20" s="656"/>
      <c r="P20" s="654"/>
      <c r="Q20" s="655"/>
      <c r="R20" s="237"/>
      <c r="S20" s="237"/>
      <c r="T20" s="237"/>
      <c r="U20" s="2"/>
    </row>
    <row r="21" spans="1:21" ht="12.75">
      <c r="A21" s="3" t="s">
        <v>60</v>
      </c>
      <c r="B21" s="452" t="s">
        <v>472</v>
      </c>
      <c r="C21" s="452"/>
      <c r="D21" s="452"/>
      <c r="E21" s="452"/>
      <c r="F21" s="452"/>
      <c r="J21" s="457" t="s">
        <v>8</v>
      </c>
      <c r="K21" s="452" t="s">
        <v>371</v>
      </c>
      <c r="L21" s="452"/>
      <c r="M21" s="654"/>
      <c r="N21" s="655"/>
      <c r="O21" s="656"/>
      <c r="P21" s="654"/>
      <c r="Q21" s="655"/>
      <c r="R21" s="237"/>
      <c r="S21" s="237"/>
      <c r="T21" s="237"/>
      <c r="U21" s="507"/>
    </row>
    <row r="22" spans="1:21" ht="13.5" customHeight="1">
      <c r="A22" s="47"/>
      <c r="B22" s="47" t="s">
        <v>247</v>
      </c>
      <c r="C22" s="47"/>
      <c r="D22" s="47"/>
      <c r="E22" s="10" t="s">
        <v>52</v>
      </c>
      <c r="F22" s="13">
        <v>608360</v>
      </c>
      <c r="J22" s="457" t="s">
        <v>9</v>
      </c>
      <c r="K22" s="452" t="s">
        <v>370</v>
      </c>
      <c r="L22" s="452"/>
      <c r="M22" s="654"/>
      <c r="N22" s="655"/>
      <c r="O22" s="656"/>
      <c r="P22" s="654"/>
      <c r="Q22" s="656"/>
      <c r="R22" s="237"/>
      <c r="S22" s="237"/>
      <c r="T22" s="237"/>
      <c r="U22" s="507"/>
    </row>
    <row r="23" spans="1:21" ht="13.5" customHeight="1">
      <c r="A23" s="47"/>
      <c r="B23" s="47" t="s">
        <v>248</v>
      </c>
      <c r="C23" s="47"/>
      <c r="D23" s="47"/>
      <c r="E23" s="10" t="s">
        <v>52</v>
      </c>
      <c r="F23" s="13">
        <v>0</v>
      </c>
      <c r="J23" s="457" t="s">
        <v>10</v>
      </c>
      <c r="K23" s="652" t="s">
        <v>229</v>
      </c>
      <c r="L23" s="653"/>
      <c r="M23" s="663"/>
      <c r="N23" s="663"/>
      <c r="O23" s="663"/>
      <c r="P23" s="663"/>
      <c r="Q23" s="663"/>
      <c r="R23" s="663"/>
      <c r="S23" s="663"/>
      <c r="T23" s="663"/>
      <c r="U23" s="507"/>
    </row>
    <row r="24" spans="1:21" ht="13.5" customHeight="1">
      <c r="A24" s="47"/>
      <c r="B24" s="47" t="s">
        <v>249</v>
      </c>
      <c r="C24" s="47"/>
      <c r="D24" s="47"/>
      <c r="E24" s="10" t="s">
        <v>52</v>
      </c>
      <c r="F24" s="14">
        <v>2282705</v>
      </c>
      <c r="J24" s="458"/>
      <c r="K24" s="652"/>
      <c r="L24" s="653"/>
      <c r="M24" s="663"/>
      <c r="N24" s="663"/>
      <c r="O24" s="663"/>
      <c r="P24" s="663"/>
      <c r="Q24" s="663"/>
      <c r="R24" s="663"/>
      <c r="S24" s="663"/>
      <c r="T24" s="663"/>
      <c r="U24" s="507"/>
    </row>
    <row r="25" spans="1:21" ht="13.5" customHeight="1">
      <c r="A25" s="47"/>
      <c r="B25" s="47" t="s">
        <v>250</v>
      </c>
      <c r="C25" s="47"/>
      <c r="D25" s="47"/>
      <c r="E25" s="10" t="s">
        <v>52</v>
      </c>
      <c r="F25" s="13">
        <v>176099</v>
      </c>
      <c r="M25" s="513"/>
      <c r="N25" s="513"/>
      <c r="O25" s="513"/>
      <c r="P25" s="513"/>
      <c r="Q25" s="513"/>
      <c r="R25" s="513"/>
      <c r="S25" s="513"/>
      <c r="T25" s="513"/>
      <c r="U25" s="513"/>
    </row>
    <row r="26" spans="1:21" ht="13.5" customHeight="1">
      <c r="A26" s="47"/>
      <c r="B26" s="452" t="s">
        <v>251</v>
      </c>
      <c r="C26" s="47"/>
      <c r="D26" s="47"/>
      <c r="E26" s="10" t="s">
        <v>52</v>
      </c>
      <c r="F26" s="13">
        <v>0</v>
      </c>
      <c r="M26" s="507"/>
      <c r="N26" s="507"/>
      <c r="O26" s="507"/>
      <c r="P26" s="507"/>
      <c r="Q26" s="507"/>
      <c r="R26" s="507"/>
      <c r="S26" s="507"/>
      <c r="T26" s="507"/>
      <c r="U26" s="507"/>
    </row>
    <row r="27" spans="1:10" ht="15.75" customHeight="1" thickBot="1">
      <c r="A27" s="47"/>
      <c r="B27" t="s">
        <v>224</v>
      </c>
      <c r="C27" s="47"/>
      <c r="D27" s="47"/>
      <c r="E27" s="10" t="s">
        <v>52</v>
      </c>
      <c r="F27" s="15">
        <f>SUM(F22:F26)</f>
        <v>3067164</v>
      </c>
      <c r="I27" s="516" t="s">
        <v>493</v>
      </c>
      <c r="J27" s="3" t="s">
        <v>498</v>
      </c>
    </row>
    <row r="28" spans="9:20" ht="13.5" customHeight="1" thickTop="1">
      <c r="I28" s="87"/>
      <c r="J28" s="522" t="s">
        <v>6</v>
      </c>
      <c r="K28" s="520" t="s">
        <v>502</v>
      </c>
      <c r="L28" s="519"/>
      <c r="M28" s="519"/>
      <c r="N28" s="515"/>
      <c r="O28" s="2"/>
      <c r="P28" s="2"/>
      <c r="Q28" s="2"/>
      <c r="R28" s="2"/>
      <c r="S28" s="251" t="s">
        <v>52</v>
      </c>
      <c r="T28" s="248">
        <v>246140</v>
      </c>
    </row>
    <row r="29" spans="1:20" ht="13.5" customHeight="1">
      <c r="A29" s="3" t="s">
        <v>89</v>
      </c>
      <c r="B29" s="452" t="s">
        <v>107</v>
      </c>
      <c r="C29" s="452"/>
      <c r="D29" s="452"/>
      <c r="E29" s="453"/>
      <c r="G29" s="247"/>
      <c r="I29" s="87"/>
      <c r="J29" s="522" t="s">
        <v>7</v>
      </c>
      <c r="K29" s="2" t="s">
        <v>503</v>
      </c>
      <c r="L29" s="474"/>
      <c r="M29" s="474"/>
      <c r="N29" s="2"/>
      <c r="O29" s="2"/>
      <c r="P29" s="2"/>
      <c r="Q29" s="2"/>
      <c r="R29" s="2"/>
      <c r="S29" s="251" t="s">
        <v>52</v>
      </c>
      <c r="T29" s="248">
        <v>2809</v>
      </c>
    </row>
    <row r="30" spans="2:20" ht="12.75">
      <c r="B30" s="454" t="s">
        <v>257</v>
      </c>
      <c r="C30" s="452"/>
      <c r="D30" s="452"/>
      <c r="E30" s="455"/>
      <c r="F30" s="251" t="s">
        <v>52</v>
      </c>
      <c r="G30" s="248">
        <v>1967344</v>
      </c>
      <c r="I30" s="87"/>
      <c r="J30" s="522" t="s">
        <v>8</v>
      </c>
      <c r="K30" s="2" t="s">
        <v>504</v>
      </c>
      <c r="L30" s="517"/>
      <c r="M30" s="517"/>
      <c r="N30" s="2"/>
      <c r="O30" s="2"/>
      <c r="P30" s="2"/>
      <c r="Q30" s="2"/>
      <c r="R30" s="2"/>
      <c r="S30" s="251" t="s">
        <v>52</v>
      </c>
      <c r="T30" s="248">
        <v>2809</v>
      </c>
    </row>
    <row r="31" spans="2:20" ht="13.5" thickBot="1">
      <c r="B31" s="454" t="s">
        <v>221</v>
      </c>
      <c r="C31" s="456"/>
      <c r="D31" s="456"/>
      <c r="E31" s="456"/>
      <c r="F31" s="251" t="s">
        <v>52</v>
      </c>
      <c r="G31" s="248">
        <v>67480</v>
      </c>
      <c r="J31" s="521" t="s">
        <v>9</v>
      </c>
      <c r="K31" s="228" t="s">
        <v>515</v>
      </c>
      <c r="L31" s="518"/>
      <c r="M31" s="518"/>
      <c r="N31" s="2"/>
      <c r="O31" s="2"/>
      <c r="P31" s="2"/>
      <c r="Q31" s="2"/>
      <c r="R31" s="2"/>
      <c r="S31" s="251" t="s">
        <v>52</v>
      </c>
      <c r="T31" s="250">
        <f>+T29-T30</f>
        <v>0</v>
      </c>
    </row>
    <row r="32" spans="2:7" ht="13.5" thickTop="1">
      <c r="B32" s="454" t="s">
        <v>222</v>
      </c>
      <c r="C32" s="456"/>
      <c r="D32" s="456"/>
      <c r="E32" s="456"/>
      <c r="F32" s="251" t="s">
        <v>52</v>
      </c>
      <c r="G32" s="249">
        <v>521767</v>
      </c>
    </row>
    <row r="33" spans="2:7" ht="13.5" customHeight="1">
      <c r="B33" s="454" t="s">
        <v>223</v>
      </c>
      <c r="C33" s="456"/>
      <c r="D33" s="456"/>
      <c r="E33" s="456"/>
      <c r="F33" s="251" t="s">
        <v>52</v>
      </c>
      <c r="G33" s="248">
        <v>1</v>
      </c>
    </row>
    <row r="34" spans="2:7" ht="13.5" customHeight="1">
      <c r="B34" s="454" t="s">
        <v>260</v>
      </c>
      <c r="C34" s="452"/>
      <c r="D34" s="452"/>
      <c r="E34" s="456"/>
      <c r="F34" s="251" t="s">
        <v>52</v>
      </c>
      <c r="G34" s="248">
        <v>306321</v>
      </c>
    </row>
    <row r="35" spans="2:7" ht="13.5" thickBot="1">
      <c r="B35" s="252" t="s">
        <v>224</v>
      </c>
      <c r="C35" s="47"/>
      <c r="D35" s="47"/>
      <c r="E35" s="47"/>
      <c r="F35" s="251" t="s">
        <v>52</v>
      </c>
      <c r="G35" s="250">
        <f>SUM(G30:G34)</f>
        <v>2862913</v>
      </c>
    </row>
    <row r="36" spans="1:7" ht="43.5" customHeight="1" thickTop="1">
      <c r="A36" s="524"/>
      <c r="B36" s="664" t="s">
        <v>497</v>
      </c>
      <c r="C36" s="664"/>
      <c r="D36" s="664"/>
      <c r="E36" s="525"/>
      <c r="F36" s="251" t="s">
        <v>52</v>
      </c>
      <c r="G36" s="248">
        <v>65768</v>
      </c>
    </row>
    <row r="37" spans="1:7" ht="42.75" customHeight="1">
      <c r="A37" s="524"/>
      <c r="B37" s="660" t="s">
        <v>496</v>
      </c>
      <c r="C37" s="660"/>
      <c r="D37" s="660"/>
      <c r="E37" s="660"/>
      <c r="F37" s="251" t="s">
        <v>52</v>
      </c>
      <c r="G37" s="523">
        <v>273304</v>
      </c>
    </row>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sheetData>
  <sheetProtection formatCells="0" formatColumns="0" formatRows="0"/>
  <mergeCells count="23">
    <mergeCell ref="S23:S24"/>
    <mergeCell ref="B36:D36"/>
    <mergeCell ref="T23:T24"/>
    <mergeCell ref="M23:O24"/>
    <mergeCell ref="M18:O18"/>
    <mergeCell ref="P20:Q20"/>
    <mergeCell ref="R23:R24"/>
    <mergeCell ref="P19:Q19"/>
    <mergeCell ref="B37:E37"/>
    <mergeCell ref="P18:Q18"/>
    <mergeCell ref="M19:O19"/>
    <mergeCell ref="P23:Q24"/>
    <mergeCell ref="M21:O21"/>
    <mergeCell ref="M20:O20"/>
    <mergeCell ref="M16:O16"/>
    <mergeCell ref="K23:L24"/>
    <mergeCell ref="C1:F1"/>
    <mergeCell ref="P16:Q16"/>
    <mergeCell ref="P21:Q21"/>
    <mergeCell ref="M22:O22"/>
    <mergeCell ref="P22:Q22"/>
    <mergeCell ref="M17:O17"/>
    <mergeCell ref="P17:Q17"/>
  </mergeCells>
  <hyperlinks>
    <hyperlink ref="B8" location="AuditServices" display="AUDIT SERVICES"/>
    <hyperlink ref="B13" location="CapitalAcquisitions" display="CAPITAL ACQUISITIONS"/>
    <hyperlink ref="B21:F21" location="InvestmentInCapitalAssets" display="INVESTMENT IN CAPITAL ASSETS AS OF JUNE 30, 2013"/>
    <hyperlink ref="B29:D29" location="CurrentExpensesByCategory" display="CURRENT EXPENSES BY CATEGORY"/>
    <hyperlink ref="B30:E30" location="CurrentExpensesByCategoryLine1" display="1.  Classroom Instruction excluding Classroom Supplies"/>
    <hyperlink ref="B31" location="CurrentExpensesByCategoryLine2" display="2.  Classroom Supplies"/>
    <hyperlink ref="B32" location="CurrentExpensesByCategoryLine3" display="3.  Administration"/>
    <hyperlink ref="B33" location="CurrentExpensesByCategoryLine4" display="4.  Support Services - Students"/>
    <hyperlink ref="B34:D34" location="CurrentExpensesByCategoryLine5" display="5.  All Other Support Services and Operations"/>
    <hyperlink ref="J17:L18" location="TeacherSalaries" display="TEACHER SALARIES (1)"/>
    <hyperlink ref="J19:L19" location="TeacherSalariesLine1" display="1."/>
    <hyperlink ref="J20:L20" location="TeacherSalariesLine2" display="2."/>
    <hyperlink ref="J21:L21" location="TeacherSalariesLine3" display="3."/>
    <hyperlink ref="J22:L22" location="TeacherSalariesLine4" display="4."/>
    <hyperlink ref="B18" location="CapitalAcquisitionsLine5" display="5.  0198  Construction in Progress"/>
    <hyperlink ref="B26" location="InvestmentInCapitalAssetsLine5" display="5.  0198  Construction in Progress"/>
    <hyperlink ref="J6:Q8" location="FullTimeEquivalentTeachers" display="1."/>
    <hyperlink ref="J28" location="AdditionalTeacherSalaryLine1" display="1."/>
    <hyperlink ref="J29" location="AdditionalTeacherSalaryLine2" display="2."/>
    <hyperlink ref="J30" location="AdditionalTeacherSalaryLine3" display="3."/>
    <hyperlink ref="B36:D36" location="CurrentExpensesbyCategoryLines7and8" display="7. Current Expenses from Federal Projects, excluding those projects intended to replace local tax revenues (e.g., most Impact Aid Projects)"/>
    <hyperlink ref="B37:E37" location="CurrentExpensesbyCategoryLines7and8" display="8. Current Expenses from State and Local Projects, including those projects intended to replace local tax revenues (e.g., most Impact Aid Projects)"/>
  </hyperlinks>
  <printOptions horizontalCentered="1"/>
  <pageMargins left="1" right="0.25" top="0.5" bottom="0.25" header="0.5" footer="0.15"/>
  <pageSetup fitToHeight="1" fitToWidth="1" horizontalDpi="600" verticalDpi="600" orientation="landscape" scale="67" r:id="rId2"/>
  <headerFooter>
    <oddFooter>&amp;LRev. 8/18&amp;CFY 2018&amp;RPage 7 of 10</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Y31"/>
  <sheetViews>
    <sheetView showGridLines="0" zoomScaleSheetLayoutView="75" workbookViewId="0" topLeftCell="A1">
      <selection activeCell="S1" sqref="S1"/>
    </sheetView>
  </sheetViews>
  <sheetFormatPr defaultColWidth="9.33203125" defaultRowHeight="12.75" customHeight="1"/>
  <cols>
    <col min="1" max="1" width="2.83203125" style="3" customWidth="1"/>
    <col min="2" max="2" width="9.83203125" style="3" customWidth="1"/>
    <col min="3" max="3" width="10.5" style="3" customWidth="1"/>
    <col min="4" max="4" width="10.83203125" style="3" customWidth="1"/>
    <col min="5" max="17" width="6.83203125" style="3" customWidth="1"/>
    <col min="18" max="18" width="8.16015625" style="3" bestFit="1" customWidth="1"/>
    <col min="19" max="22" width="11.16015625" style="3" customWidth="1"/>
    <col min="23" max="23" width="3.83203125" style="3" customWidth="1"/>
    <col min="24" max="16384" width="9.33203125" style="3" customWidth="1"/>
  </cols>
  <sheetData>
    <row r="1" spans="1:22" ht="12.75" customHeight="1">
      <c r="A1" s="1" t="s">
        <v>0</v>
      </c>
      <c r="D1" s="566" t="str">
        <f>'Cover Page'!D1</f>
        <v>NORTH STAR CHARTER SCHOOL, INC.</v>
      </c>
      <c r="E1" s="566"/>
      <c r="F1" s="566"/>
      <c r="G1" s="566"/>
      <c r="H1" s="2"/>
      <c r="I1" s="2"/>
      <c r="K1" s="4" t="s">
        <v>1</v>
      </c>
      <c r="L1" s="566" t="str">
        <f>'Cover Page'!M1</f>
        <v>MARICOPA</v>
      </c>
      <c r="M1" s="566"/>
      <c r="P1" s="12"/>
      <c r="U1" s="4" t="s">
        <v>138</v>
      </c>
      <c r="V1" s="246" t="str">
        <f>'Cover Page'!R1</f>
        <v>078945000</v>
      </c>
    </row>
    <row r="2" spans="17:20" ht="12.75" customHeight="1">
      <c r="Q2" s="7"/>
      <c r="T2" s="7"/>
    </row>
    <row r="3" spans="1:25" ht="12.75" customHeight="1">
      <c r="A3" s="45" t="s">
        <v>116</v>
      </c>
      <c r="B3" s="7"/>
      <c r="C3" s="7"/>
      <c r="D3" s="7"/>
      <c r="E3" s="7"/>
      <c r="F3" s="7"/>
      <c r="G3" s="7"/>
      <c r="H3" s="7"/>
      <c r="I3" s="46"/>
      <c r="J3" s="46"/>
      <c r="K3" s="46"/>
      <c r="L3" s="46"/>
      <c r="M3" s="46"/>
      <c r="N3" s="46"/>
      <c r="O3" s="7"/>
      <c r="P3" s="7"/>
      <c r="Q3" s="7"/>
      <c r="R3" s="7"/>
      <c r="S3" s="7"/>
      <c r="T3" s="7"/>
      <c r="U3" s="7"/>
      <c r="Y3" s="4"/>
    </row>
    <row r="4" ht="6" customHeight="1"/>
    <row r="5" spans="1:6" ht="12.75" customHeight="1">
      <c r="A5" t="s">
        <v>209</v>
      </c>
      <c r="B5"/>
      <c r="C5"/>
      <c r="D5"/>
      <c r="E5"/>
      <c r="F5"/>
    </row>
    <row r="6" spans="5:20" ht="12.75" customHeight="1">
      <c r="E6" s="672" t="s">
        <v>63</v>
      </c>
      <c r="F6" s="673"/>
      <c r="G6" s="673"/>
      <c r="H6" s="673"/>
      <c r="I6" s="673"/>
      <c r="J6" s="673"/>
      <c r="K6" s="673"/>
      <c r="L6" s="673"/>
      <c r="M6" s="673"/>
      <c r="N6" s="673"/>
      <c r="O6" s="673"/>
      <c r="P6" s="673"/>
      <c r="Q6" s="673"/>
      <c r="R6" s="674"/>
      <c r="S6" s="20"/>
      <c r="T6" s="20"/>
    </row>
    <row r="7" spans="2:20" ht="12.75" customHeight="1">
      <c r="B7" s="3" t="s">
        <v>62</v>
      </c>
      <c r="E7" s="21" t="s">
        <v>64</v>
      </c>
      <c r="F7" s="21">
        <v>1</v>
      </c>
      <c r="G7" s="21">
        <v>2</v>
      </c>
      <c r="H7" s="21">
        <v>3</v>
      </c>
      <c r="I7" s="21">
        <v>4</v>
      </c>
      <c r="J7" s="21">
        <v>5</v>
      </c>
      <c r="K7" s="21">
        <v>6</v>
      </c>
      <c r="L7" s="21">
        <v>7</v>
      </c>
      <c r="M7" s="21">
        <v>8</v>
      </c>
      <c r="N7" s="21">
        <v>9</v>
      </c>
      <c r="O7" s="21">
        <v>10</v>
      </c>
      <c r="P7" s="21">
        <v>11</v>
      </c>
      <c r="Q7" s="21">
        <v>12</v>
      </c>
      <c r="R7" s="21" t="s">
        <v>33</v>
      </c>
      <c r="S7" s="22"/>
      <c r="T7" s="22"/>
    </row>
    <row r="8" spans="2:20" ht="12.75" customHeight="1">
      <c r="B8" s="3" t="s">
        <v>65</v>
      </c>
      <c r="E8" s="17"/>
      <c r="F8" s="17"/>
      <c r="G8" s="17"/>
      <c r="H8" s="17"/>
      <c r="I8" s="17"/>
      <c r="J8" s="17"/>
      <c r="K8" s="17"/>
      <c r="L8" s="17"/>
      <c r="M8" s="17"/>
      <c r="N8" s="17"/>
      <c r="O8" s="17"/>
      <c r="P8" s="17"/>
      <c r="Q8" s="17"/>
      <c r="R8" s="23">
        <f>SUM(E8:Q8)</f>
        <v>0</v>
      </c>
      <c r="S8" s="24" t="s">
        <v>6</v>
      </c>
      <c r="T8" s="2"/>
    </row>
    <row r="9" spans="2:20" ht="12.75" customHeight="1">
      <c r="B9" s="3" t="s">
        <v>66</v>
      </c>
      <c r="E9" s="17"/>
      <c r="F9" s="17"/>
      <c r="G9" s="17"/>
      <c r="H9" s="17"/>
      <c r="I9" s="17"/>
      <c r="J9" s="17"/>
      <c r="K9" s="17"/>
      <c r="L9" s="17"/>
      <c r="M9" s="17"/>
      <c r="N9" s="17"/>
      <c r="O9" s="17"/>
      <c r="P9" s="17"/>
      <c r="Q9" s="17"/>
      <c r="R9" s="23">
        <f>SUM(E9:Q9)</f>
        <v>0</v>
      </c>
      <c r="S9" s="24" t="s">
        <v>7</v>
      </c>
      <c r="T9" s="2"/>
    </row>
    <row r="10" spans="2:20" ht="12.75" customHeight="1" thickBot="1">
      <c r="B10" s="3" t="s">
        <v>67</v>
      </c>
      <c r="E10" s="25"/>
      <c r="F10" s="25"/>
      <c r="G10" s="25"/>
      <c r="H10" s="25"/>
      <c r="I10" s="25"/>
      <c r="J10" s="25"/>
      <c r="K10" s="25"/>
      <c r="L10" s="25"/>
      <c r="M10" s="25"/>
      <c r="N10" s="25"/>
      <c r="O10" s="25"/>
      <c r="P10" s="25"/>
      <c r="Q10" s="25"/>
      <c r="R10" s="26">
        <f>SUM(E10:Q10)</f>
        <v>0</v>
      </c>
      <c r="S10" s="24" t="s">
        <v>8</v>
      </c>
      <c r="T10" s="2"/>
    </row>
    <row r="11" spans="2:19" s="2" customFormat="1" ht="12.75" customHeight="1">
      <c r="B11" s="2" t="s">
        <v>134</v>
      </c>
      <c r="E11" s="666">
        <f aca="true" t="shared" si="0" ref="E11:Q11">SUM(E8:E10)</f>
        <v>0</v>
      </c>
      <c r="F11" s="666">
        <f t="shared" si="0"/>
        <v>0</v>
      </c>
      <c r="G11" s="666">
        <f t="shared" si="0"/>
        <v>0</v>
      </c>
      <c r="H11" s="666">
        <f t="shared" si="0"/>
        <v>0</v>
      </c>
      <c r="I11" s="666">
        <f t="shared" si="0"/>
        <v>0</v>
      </c>
      <c r="J11" s="666">
        <f t="shared" si="0"/>
        <v>0</v>
      </c>
      <c r="K11" s="666">
        <f t="shared" si="0"/>
        <v>0</v>
      </c>
      <c r="L11" s="666">
        <f t="shared" si="0"/>
        <v>0</v>
      </c>
      <c r="M11" s="666">
        <f t="shared" si="0"/>
        <v>0</v>
      </c>
      <c r="N11" s="666">
        <f t="shared" si="0"/>
        <v>0</v>
      </c>
      <c r="O11" s="666">
        <f t="shared" si="0"/>
        <v>0</v>
      </c>
      <c r="P11" s="666">
        <f t="shared" si="0"/>
        <v>0</v>
      </c>
      <c r="Q11" s="666">
        <f t="shared" si="0"/>
        <v>0</v>
      </c>
      <c r="R11" s="666">
        <f>SUM(E11:Q11)</f>
        <v>0</v>
      </c>
      <c r="S11" s="27"/>
    </row>
    <row r="12" spans="2:20" ht="13.5" thickBot="1">
      <c r="B12" s="3" t="s">
        <v>342</v>
      </c>
      <c r="E12" s="667"/>
      <c r="F12" s="667"/>
      <c r="G12" s="667"/>
      <c r="H12" s="667"/>
      <c r="I12" s="667"/>
      <c r="J12" s="667"/>
      <c r="K12" s="667"/>
      <c r="L12" s="667"/>
      <c r="M12" s="667"/>
      <c r="N12" s="667"/>
      <c r="O12" s="667"/>
      <c r="P12" s="667"/>
      <c r="Q12" s="667"/>
      <c r="R12" s="667"/>
      <c r="S12" s="24" t="s">
        <v>9</v>
      </c>
      <c r="T12" s="2"/>
    </row>
    <row r="13" ht="16.5" customHeight="1" thickTop="1"/>
    <row r="14" spans="1:17" ht="12.75" customHeight="1">
      <c r="A14" s="670" t="s">
        <v>383</v>
      </c>
      <c r="B14" s="670"/>
      <c r="C14" s="670"/>
      <c r="D14" s="670"/>
      <c r="E14" s="670"/>
      <c r="F14" s="493"/>
      <c r="G14" s="493"/>
      <c r="H14" s="228"/>
      <c r="K14" s="452" t="s">
        <v>382</v>
      </c>
      <c r="L14" s="452"/>
      <c r="M14" s="452"/>
      <c r="N14" s="452"/>
      <c r="O14" s="452"/>
      <c r="P14" s="452"/>
      <c r="Q14" s="452"/>
    </row>
    <row r="15" spans="1:20" ht="38.25" customHeight="1">
      <c r="A15" s="495"/>
      <c r="B15" s="671" t="s">
        <v>405</v>
      </c>
      <c r="C15" s="671"/>
      <c r="D15" s="671"/>
      <c r="E15" s="671"/>
      <c r="F15" s="493"/>
      <c r="G15" s="493"/>
      <c r="H15" s="228"/>
      <c r="S15" s="284" t="s">
        <v>268</v>
      </c>
      <c r="T15" s="284" t="s">
        <v>263</v>
      </c>
    </row>
    <row r="16" spans="1:21" ht="12.75" customHeight="1">
      <c r="A16" s="47"/>
      <c r="B16" s="35" t="s">
        <v>261</v>
      </c>
      <c r="E16" s="228"/>
      <c r="K16" s="65" t="s">
        <v>6</v>
      </c>
      <c r="L16" s="670" t="s">
        <v>442</v>
      </c>
      <c r="M16" s="670"/>
      <c r="N16" s="670"/>
      <c r="O16" s="670"/>
      <c r="P16" s="670"/>
      <c r="S16" s="466">
        <v>41000</v>
      </c>
      <c r="T16" s="76">
        <v>34000</v>
      </c>
      <c r="U16" s="24" t="s">
        <v>6</v>
      </c>
    </row>
    <row r="17" spans="1:21" ht="12.75" customHeight="1">
      <c r="A17" s="47"/>
      <c r="B17" s="3" t="s">
        <v>90</v>
      </c>
      <c r="C17" s="10" t="s">
        <v>52</v>
      </c>
      <c r="D17" s="13"/>
      <c r="E17" s="228"/>
      <c r="K17" s="65" t="s">
        <v>7</v>
      </c>
      <c r="L17" s="668" t="s">
        <v>375</v>
      </c>
      <c r="M17" s="668"/>
      <c r="N17" s="668"/>
      <c r="O17" s="71"/>
      <c r="S17" s="182">
        <f>[2]!P200GiftedEducation</f>
        <v>0</v>
      </c>
      <c r="T17" s="17"/>
      <c r="U17" s="24" t="s">
        <v>7</v>
      </c>
    </row>
    <row r="18" spans="1:21" ht="12.75" customHeight="1">
      <c r="A18" s="47"/>
      <c r="B18" s="24" t="s">
        <v>86</v>
      </c>
      <c r="C18" s="10" t="s">
        <v>52</v>
      </c>
      <c r="D18" s="14"/>
      <c r="E18" s="228"/>
      <c r="K18" s="65" t="s">
        <v>8</v>
      </c>
      <c r="L18" s="3" t="s">
        <v>233</v>
      </c>
      <c r="S18" s="182">
        <f>[2]!P200ELLIncrementalCosts</f>
        <v>0</v>
      </c>
      <c r="T18" s="17"/>
      <c r="U18" s="24" t="s">
        <v>8</v>
      </c>
    </row>
    <row r="19" spans="1:21" ht="12.75" customHeight="1" thickBot="1">
      <c r="A19" s="47"/>
      <c r="B19" s="3" t="s">
        <v>135</v>
      </c>
      <c r="C19" s="10" t="s">
        <v>52</v>
      </c>
      <c r="D19" s="44">
        <f>SUM(D17:D18)</f>
        <v>0</v>
      </c>
      <c r="E19" s="494"/>
      <c r="K19" s="65" t="s">
        <v>9</v>
      </c>
      <c r="L19" s="3" t="s">
        <v>234</v>
      </c>
      <c r="S19" s="182">
        <f>[2]!P200ELLCompensatoryInstruction</f>
        <v>0</v>
      </c>
      <c r="T19" s="17"/>
      <c r="U19" s="24" t="s">
        <v>9</v>
      </c>
    </row>
    <row r="20" spans="11:21" ht="12.75" customHeight="1" thickTop="1">
      <c r="K20" s="65" t="s">
        <v>10</v>
      </c>
      <c r="L20" s="3" t="s">
        <v>128</v>
      </c>
      <c r="S20" s="182">
        <f>[2]!P200RemedialEducation</f>
        <v>0</v>
      </c>
      <c r="T20" s="17"/>
      <c r="U20" s="24" t="s">
        <v>10</v>
      </c>
    </row>
    <row r="21" spans="11:21" ht="12.75">
      <c r="K21" s="65" t="s">
        <v>11</v>
      </c>
      <c r="L21" s="3" t="s">
        <v>180</v>
      </c>
      <c r="S21" s="182">
        <f>[2]!P200VocationalandTechnologicalEd</f>
        <v>0</v>
      </c>
      <c r="T21" s="17"/>
      <c r="U21" s="24" t="s">
        <v>11</v>
      </c>
    </row>
    <row r="22" spans="11:21" ht="12" customHeight="1" thickBot="1">
      <c r="K22" s="65" t="s">
        <v>12</v>
      </c>
      <c r="L22" s="3" t="s">
        <v>129</v>
      </c>
      <c r="S22" s="254">
        <f>[2]!P200CareerEducation</f>
        <v>0</v>
      </c>
      <c r="T22" s="25"/>
      <c r="U22" s="24" t="s">
        <v>12</v>
      </c>
    </row>
    <row r="23" spans="11:21" ht="12.75" customHeight="1" thickBot="1">
      <c r="K23" s="65" t="s">
        <v>14</v>
      </c>
      <c r="L23" s="669" t="s">
        <v>441</v>
      </c>
      <c r="M23" s="669"/>
      <c r="N23" s="669"/>
      <c r="O23" s="669"/>
      <c r="P23" s="669"/>
      <c r="Q23" s="366"/>
      <c r="S23" s="69">
        <f>SUM(S16:S22)</f>
        <v>41000</v>
      </c>
      <c r="T23" s="19">
        <f>SUM(T16:T22)</f>
        <v>34000</v>
      </c>
      <c r="U23" s="24" t="s">
        <v>14</v>
      </c>
    </row>
    <row r="24" spans="1:8" ht="12.75" customHeight="1" thickTop="1">
      <c r="A24" s="10"/>
      <c r="B24" s="557"/>
      <c r="C24" s="557"/>
      <c r="D24" s="557"/>
      <c r="E24" s="557"/>
      <c r="F24" s="557"/>
      <c r="G24" s="557"/>
      <c r="H24" s="557"/>
    </row>
    <row r="25" spans="1:8" ht="12.75" customHeight="1">
      <c r="A25" s="10"/>
      <c r="B25" s="557"/>
      <c r="C25" s="557"/>
      <c r="D25" s="557"/>
      <c r="E25" s="557"/>
      <c r="F25" s="557"/>
      <c r="G25" s="557"/>
      <c r="H25" s="557"/>
    </row>
    <row r="26" spans="1:24" ht="12.75" customHeight="1">
      <c r="A26" s="65"/>
      <c r="B26" s="557"/>
      <c r="C26" s="557"/>
      <c r="D26" s="557"/>
      <c r="E26" s="557"/>
      <c r="F26" s="557"/>
      <c r="G26" s="557"/>
      <c r="H26" s="557"/>
      <c r="I26" s="557"/>
      <c r="J26" s="557"/>
      <c r="K26" s="557"/>
      <c r="L26" s="557"/>
      <c r="W26" s="365"/>
      <c r="X26" s="365"/>
    </row>
    <row r="27" spans="2:13" ht="12.75" customHeight="1">
      <c r="B27" s="557"/>
      <c r="C27" s="557"/>
      <c r="D27" s="557"/>
      <c r="E27" s="557"/>
      <c r="F27" s="557"/>
      <c r="G27" s="557"/>
      <c r="H27" s="557"/>
      <c r="I27" s="557"/>
      <c r="J27" s="557"/>
      <c r="K27" s="557"/>
      <c r="L27" s="557"/>
      <c r="M27" s="557"/>
    </row>
    <row r="31" spans="2:3" ht="12.75" customHeight="1">
      <c r="B31" s="464"/>
      <c r="C31" s="464"/>
    </row>
  </sheetData>
  <sheetProtection formatCells="0" formatColumns="0" formatRows="0"/>
  <mergeCells count="26">
    <mergeCell ref="Q11:Q12"/>
    <mergeCell ref="R11:R12"/>
    <mergeCell ref="E6:R6"/>
    <mergeCell ref="M11:M12"/>
    <mergeCell ref="N11:N12"/>
    <mergeCell ref="O11:O12"/>
    <mergeCell ref="P11:P12"/>
    <mergeCell ref="I11:I12"/>
    <mergeCell ref="B26:L26"/>
    <mergeCell ref="B27:M27"/>
    <mergeCell ref="L11:L12"/>
    <mergeCell ref="B24:H24"/>
    <mergeCell ref="B25:H25"/>
    <mergeCell ref="L17:N17"/>
    <mergeCell ref="L23:P23"/>
    <mergeCell ref="A14:E14"/>
    <mergeCell ref="B15:E15"/>
    <mergeCell ref="L16:P16"/>
    <mergeCell ref="D1:G1"/>
    <mergeCell ref="L1:M1"/>
    <mergeCell ref="E11:E12"/>
    <mergeCell ref="F11:F12"/>
    <mergeCell ref="G11:G12"/>
    <mergeCell ref="H11:H12"/>
    <mergeCell ref="J11:J12"/>
    <mergeCell ref="K11:K12"/>
  </mergeCells>
  <hyperlinks>
    <hyperlink ref="K14:Q14" location="SpecialEdProgramsByType" display="D. SPECIAL EDUCATION PROGRAMS BY TYPE"/>
    <hyperlink ref="K17:N17" location="TotalActualGiftedExpenses" display="15."/>
    <hyperlink ref="K23:P23" location="Program_200_Budget_and_Program_200_Actual_column_totals_should_equal_line_27_on_page_2." display="22."/>
    <hyperlink ref="A14:E15" location="TotalActualGiftedExpenses" display="B. EXPENSES FOR GIFTED PUPILS "/>
    <hyperlink ref="L16:P16" location="AllDisabilityClassifications" display="Total All Disability Classifications"/>
  </hyperlinks>
  <printOptions horizontalCentered="1"/>
  <pageMargins left="1" right="0.25" top="0.5" bottom="0.25" header="0.5" footer="0.15"/>
  <pageSetup fitToHeight="1" fitToWidth="1" horizontalDpi="600" verticalDpi="600" orientation="landscape" scale="77" r:id="rId2"/>
  <headerFooter>
    <oddFooter>&amp;LRev. 8/18&amp;CFY 2018&amp;RPage 8 of 10</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Charter School AFR</dc:title>
  <dc:subject/>
  <dc:creator>AZ Auditor General</dc:creator>
  <cp:keywords/>
  <dc:description/>
  <cp:lastModifiedBy>CEO</cp:lastModifiedBy>
  <cp:lastPrinted>2018-10-08T22:02:49Z</cp:lastPrinted>
  <dcterms:created xsi:type="dcterms:W3CDTF">1997-10-10T20:56:13Z</dcterms:created>
  <dcterms:modified xsi:type="dcterms:W3CDTF">2018-10-08T23:31:07Z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scalYear">
    <vt:lpwstr>2018</vt:lpwstr>
  </property>
  <property fmtid="{D5CDD505-2E9C-101B-9397-08002B2CF9AE}" pid="3" name="BudgetTypeID">
    <vt:lpwstr>11</vt:lpwstr>
  </property>
  <property fmtid="{D5CDD505-2E9C-101B-9397-08002B2CF9AE}" pid="4" name="SchoolBySchool">
    <vt:lpwstr>0</vt:lpwstr>
  </property>
  <property fmtid="{D5CDD505-2E9C-101B-9397-08002B2CF9AE}" pid="5" name="Password">
    <vt:lpwstr>DBacks123</vt:lpwstr>
  </property>
</Properties>
</file>