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30" windowHeight="8865" activeTab="0"/>
  </bookViews>
  <sheets>
    <sheet name="Cover" sheetId="1" r:id="rId1"/>
    <sheet name="Charter Contact Info" sheetId="2" r:id="rId2"/>
    <sheet name="Page 1" sheetId="3" r:id="rId3"/>
    <sheet name="Page 2" sheetId="4" r:id="rId4"/>
    <sheet name="Page 3" sheetId="5" r:id="rId5"/>
    <sheet name="Page 4" sheetId="6" r:id="rId6"/>
    <sheet name="Budget Summary" sheetId="7" r:id="rId7"/>
    <sheet name="Data Entry" sheetId="8" r:id="rId8"/>
    <sheet name="Calculations" sheetId="9" r:id="rId9"/>
    <sheet name="CHAR55" sheetId="10" r:id="rId10"/>
    <sheet name="Instructions" sheetId="11" r:id="rId11"/>
  </sheets>
  <externalReferences>
    <externalReference r:id="rId14"/>
    <externalReference r:id="rId15"/>
    <externalReference r:id="rId16"/>
  </externalReferences>
  <definedNames>
    <definedName name="_Order1" hidden="1">255</definedName>
    <definedName name="_xlfn._FV" hidden="1">#NAME?</definedName>
    <definedName name="ActAuditExpend">'Data Entry'!$C$71</definedName>
    <definedName name="AdditionalTeacherSalaryIncreaseCover" localSheetId="9">Incr200Days</definedName>
    <definedName name="AdditionalTeacherSalaryIncreaseLine1" localSheetId="9">'Instructions'!#REF!</definedName>
    <definedName name="AdditionalTeacherSalaryIncreaseLine2" localSheetId="9">'Instructions'!#REF!</definedName>
    <definedName name="AdditionalTeacherSalaryIncreaseLine2">'Instructions'!#REF!</definedName>
    <definedName name="AdditionalTeacherSalaryIncreaseLine3" localSheetId="9">'Instructions'!#REF!</definedName>
    <definedName name="AdditionalTeacherSalaryIncreaseLine4" localSheetId="9">'Instructions'!#REF!</definedName>
    <definedName name="AdditionalTeacherSalaryIncreaseLine6" localSheetId="9">'Instructions'!#REF!</definedName>
    <definedName name="AdditionalTeacherSalaryIncreaseLine7" localSheetId="9">'Instructions'!#REF!</definedName>
    <definedName name="AdditionalTeacherSalaryIncreaseLine8" localSheetId="9">'Instructions'!#REF!</definedName>
    <definedName name="AdjWaysLevy">'[2]Page 5'!$E$28</definedName>
    <definedName name="AverageSalaryCalculationComment">'Cover'!$L$36</definedName>
    <definedName name="AverageTeacherSalaries">'Instructions'!$C$6</definedName>
    <definedName name="BudgetSummary">'Instructions'!$C$28</definedName>
    <definedName name="BudgetYearADM">'[2]Summary Page 1'!$D$12</definedName>
    <definedName name="BudgetYearSalary" localSheetId="8">'[2]Cover'!$S$31</definedName>
    <definedName name="BudgetYearSalary" localSheetId="9">'[2]Cover'!$S$31</definedName>
    <definedName name="BudgetYearSalary">'Cover'!$R$32</definedName>
    <definedName name="CA0191Land">'Page 2'!$E$40</definedName>
    <definedName name="CA0192SiteImprovements">'Page 2'!$E$41</definedName>
    <definedName name="CA0194Buildings">'Page 2'!$E$42</definedName>
    <definedName name="CA0196Equipment">'Page 2'!$E$43</definedName>
    <definedName name="CA0198CIP">'Page 2'!$E$44</definedName>
    <definedName name="CAK3Reading">'Page 2'!$E$47</definedName>
    <definedName name="CapitalAcquisitions">'Instructions'!$C$17</definedName>
    <definedName name="CharterContactInfo">'Instructions'!$C$7</definedName>
    <definedName name="CharterHolderTotalCharterSchoolCounts">'Instructions'!#REF!</definedName>
    <definedName name="Check_box_if_the_district_has_been_approved_to_provide_200_days_of_instruction_by_ADE.__A.R.S._§15_902.04">Inc200Days</definedName>
    <definedName name="CIP1072P265F1000">'Page 4'!$N$30</definedName>
    <definedName name="CIP1072P265F1000PPL">'Page 4'!$G$30</definedName>
    <definedName name="CIP1072P265F2100">'Page 4'!$N$32</definedName>
    <definedName name="CIP1072P265F2100PPL">'Page 4'!$G$32</definedName>
    <definedName name="CIP1072P265F2200">'Page 4'!$N$33</definedName>
    <definedName name="CIP1072P265F2200PPL">'Page 4'!$G$33</definedName>
    <definedName name="CIP1072P265F2300">'Page 4'!$N$34</definedName>
    <definedName name="CIP1072P265F2300PPL">'Page 4'!$G$34</definedName>
    <definedName name="CIP1072P265F2400">'Page 4'!$N$35</definedName>
    <definedName name="CIP1072P265F2400PPL">'Page 4'!$G$35</definedName>
    <definedName name="CIP1072P265F2500">'Page 4'!$N$36</definedName>
    <definedName name="CIP1072P265F2500PPL">'Page 4'!$G$36</definedName>
    <definedName name="CIP1072P265F2600">'Page 4'!$N$37</definedName>
    <definedName name="CIP1072P265F2600PPL">'Page 4'!$G$37</definedName>
    <definedName name="CIP1072P265F2900">'Page 4'!$N$38</definedName>
    <definedName name="CIP1072P265F2900PPL">'Page 4'!$G$38</definedName>
    <definedName name="CIP1072P435F2700">'Page 4'!$N$42</definedName>
    <definedName name="CIP1072P435F2700PPL">'Page 4'!$G$42</definedName>
    <definedName name="CollegeCreditExamIncentives">'Instructions'!$C$15</definedName>
    <definedName name="CoverGen">'Instructions'!$C$2</definedName>
    <definedName name="CoverGen1">'Instructions'!$C$2</definedName>
    <definedName name="CSFBLBudgFY">'[2]Page 8'!$J$45</definedName>
    <definedName name="CSP1011P100F1000">'Page 3'!$K$9</definedName>
    <definedName name="CSP1011P100F2100">'Page 3'!$K$10</definedName>
    <definedName name="CSP1011P100F2200">'Page 3'!$K$11</definedName>
    <definedName name="CSP1011P200F1000">'Page 3'!$K$14</definedName>
    <definedName name="CSP1011P200F2100">'Page 3'!$K$15</definedName>
    <definedName name="CSP1011P200F2200">'Page 3'!$K$16</definedName>
    <definedName name="CSP1011POtherF1000">'Page 3'!$K$19</definedName>
    <definedName name="CSP1011POtherF2100">'Page 3'!$K$20</definedName>
    <definedName name="CSP1011POtherF2200">'Page 3'!$K$21</definedName>
    <definedName name="CSP1012P100F1000">'Page 3'!$K$26</definedName>
    <definedName name="CSP1012P100F2100">'Page 3'!$K$27</definedName>
    <definedName name="CSP1012P100F2200">'Page 3'!$K$28</definedName>
    <definedName name="CSP1012P200F1000">'Page 3'!$K$31</definedName>
    <definedName name="CSP1012P200F2100">'Page 3'!$K$32</definedName>
    <definedName name="CSP1012P200F2200">'Page 3'!$K$33</definedName>
    <definedName name="CSP1012POtherF1000">'Page 3'!$K$36</definedName>
    <definedName name="CSP1012POtherF2100">'Page 3'!$K$37</definedName>
    <definedName name="CSP1012POtherF2200">'Page 3'!$K$38</definedName>
    <definedName name="CSP1013P100F1000">'Page 3'!$K$43</definedName>
    <definedName name="CSP1013P100F2100">'Page 3'!$K$44</definedName>
    <definedName name="CSP1013P100F2200">'Page 3'!$K$45</definedName>
    <definedName name="CSP1013P200F1000">'Page 3'!$K$48</definedName>
    <definedName name="CSP1013P200F2100">'Page 3'!$K$49</definedName>
    <definedName name="CSP1013P200F2200">'Page 3'!$K$50</definedName>
    <definedName name="CSP1013P530F1000">'Page 3'!$K$53</definedName>
    <definedName name="CSP1013POtherF1000">'Page 3'!$K$55</definedName>
    <definedName name="CSP1013POtherF21002200">'Page 3'!$K$56</definedName>
    <definedName name="CTD" localSheetId="8">'[2]Cover'!$Q$1</definedName>
    <definedName name="CTD" localSheetId="9">'[2]Cover'!$Q$1</definedName>
    <definedName name="CTD">'Cover'!$R$1</definedName>
    <definedName name="CTDSNumber">'Instructions'!$C$3</definedName>
    <definedName name="DataEntry_CheckBoxes">'Instructions'!#REF!</definedName>
    <definedName name="DaysOfInstruction">'Instructions'!#REF!</definedName>
    <definedName name="DecreaseforFedandStateMonies">'Data Entry'!$C$62</definedName>
    <definedName name="EmployeeBenefits">'Instructions'!$C$2</definedName>
    <definedName name="EstimatedRevenues">'Instructions'!$C$5</definedName>
    <definedName name="EstTaxRateBudgFY">'[2]Cover'!$Q$13</definedName>
    <definedName name="F001P100F1000O6100">'[2]Page 1'!$F$8</definedName>
    <definedName name="F001P100F1000O6200">'[2]Page 1'!$G$8</definedName>
    <definedName name="F001P100F1000O630064006500">'[2]Page 1'!$H$8</definedName>
    <definedName name="F001P100F1000O6600">'[2]Page 1'!$I$8</definedName>
    <definedName name="F001P100F1000O6800">'[2]Page 1'!$J$8</definedName>
    <definedName name="F001P100F2100O6100">'[2]Page 1'!$F$10</definedName>
    <definedName name="F001P100F2100O6200">'[2]Page 1'!$G$10</definedName>
    <definedName name="F001P100F2100O630064006500">'[2]Page 1'!$H$10</definedName>
    <definedName name="F001P100F2100O6600">'[2]Page 1'!$I$10</definedName>
    <definedName name="F001P100F2100O6800">'[2]Page 1'!$J$10</definedName>
    <definedName name="F001P100F2200O6100">'[2]Page 1'!$F$11</definedName>
    <definedName name="F001P100F2200O6200">'[2]Page 1'!$G$11</definedName>
    <definedName name="F001P100F2200O630064006500">'[2]Page 1'!$H$11</definedName>
    <definedName name="F001P100F2200O6600">'[2]Page 1'!$I$11</definedName>
    <definedName name="F001P100F2200O6800">'[2]Page 1'!$J$11</definedName>
    <definedName name="F001P100F2300O6100">'[2]Page 1'!$F$12</definedName>
    <definedName name="F001P100F2300O6200">'[2]Page 1'!$G$12</definedName>
    <definedName name="F001P100F2300O630064006500">'[2]Page 1'!$H$12</definedName>
    <definedName name="F001P100F2300O6600">'[2]Page 1'!$I$12</definedName>
    <definedName name="F001P100F2300O6800">'[2]Page 1'!$J$12</definedName>
    <definedName name="F001P100F2400O6100">'[2]Page 1'!$F$13</definedName>
    <definedName name="F001P100F2400O6200">'[2]Page 1'!$G$13</definedName>
    <definedName name="F001P100F2400O630064006500">'[2]Page 1'!$H$13</definedName>
    <definedName name="F001P100F2400O6600">'[2]Page 1'!$I$13</definedName>
    <definedName name="F001P100F2400O6800">'[2]Page 1'!$J$13</definedName>
    <definedName name="F001P100F2500O6100">'[2]Page 1'!$F$14</definedName>
    <definedName name="F001P100F2500O6200">'[2]Page 1'!$G$14</definedName>
    <definedName name="F001P100F2500O630064006500">'[2]Page 1'!$H$14</definedName>
    <definedName name="F001P100F2500O6600">'[2]Page 1'!$I$14</definedName>
    <definedName name="F001P100F2500O6800">'[2]Page 1'!$J$14</definedName>
    <definedName name="F001P100F2600O6100">'[2]Page 1'!$F$15</definedName>
    <definedName name="F001P100F2600O6200">'[2]Page 1'!$G$15</definedName>
    <definedName name="F001P100F2600O630064006500">'[2]Page 1'!$H$15</definedName>
    <definedName name="F001P100F2600O6600">'[2]Page 1'!$I$15</definedName>
    <definedName name="F001P100F2600O6800">'[2]Page 1'!$J$15</definedName>
    <definedName name="F001P100F2900O6100">'[2]Page 1'!$F$16</definedName>
    <definedName name="F001P100F2900O6200">'[2]Page 1'!$G$16</definedName>
    <definedName name="F001P100F2900O630064006500">'[2]Page 1'!$H$16</definedName>
    <definedName name="F001P100F2900O6600">'[2]Page 1'!$I$16</definedName>
    <definedName name="F001P100F2900O6800">'[2]Page 1'!$J$16</definedName>
    <definedName name="F001P100F3000O6100">'[2]Page 1'!$F$17</definedName>
    <definedName name="F001P100F3000O6200">'[2]Page 1'!$G$17</definedName>
    <definedName name="F001P100F3000O630064006500">'[2]Page 1'!$H$17</definedName>
    <definedName name="F001P100F3000O6600">'[2]Page 1'!$I$17</definedName>
    <definedName name="F001P100F3000O6800">'[2]Page 1'!$J$17</definedName>
    <definedName name="F001P200F1000O6100">'[2]Page 1'!$F$24</definedName>
    <definedName name="F001P200F1000O6200">'[2]Page 1'!$G$24</definedName>
    <definedName name="F001P200F1000O630064006500">'[2]Page 1'!$H$24</definedName>
    <definedName name="F001P200F1000O6600">'[2]Page 1'!$I$24</definedName>
    <definedName name="F001P200F1000O6800">'[2]Page 1'!$J$24</definedName>
    <definedName name="F001P200F2100O6100">'[2]Page 1'!$F$26</definedName>
    <definedName name="F001P200F2100O6200">'[2]Page 1'!$G$26</definedName>
    <definedName name="F001P200F2100O630064006500">'[2]Page 1'!$H$26</definedName>
    <definedName name="F001P200F2100O6600">'[2]Page 1'!$I$26</definedName>
    <definedName name="F001P200F2100O6800">'[2]Page 1'!$J$26</definedName>
    <definedName name="F001P200F2200O6100">'[2]Page 1'!$F$27</definedName>
    <definedName name="F001P200F2200O6200">'[2]Page 1'!$G$27</definedName>
    <definedName name="F001P200F2200O630064006500">'[2]Page 1'!$H$27</definedName>
    <definedName name="F001P200F2200O6600">'[2]Page 1'!$I$27</definedName>
    <definedName name="F001P200F2200O6800">'[2]Page 1'!$J$27</definedName>
    <definedName name="F001P200F2300O6100">'[2]Page 1'!$F$28</definedName>
    <definedName name="F001P200F2300O6200">'[2]Page 1'!$G$28</definedName>
    <definedName name="F001P200F2300O630064006500">'[2]Page 1'!$H$28</definedName>
    <definedName name="F001P200F2300O6600">'[2]Page 1'!$I$28</definedName>
    <definedName name="F001P200F2300O6800">'[2]Page 1'!$J$28</definedName>
    <definedName name="F001P200F2400O6100">'[2]Page 1'!$F$29</definedName>
    <definedName name="F001P200F2400O6200">'[2]Page 1'!$G$29</definedName>
    <definedName name="F001P200F2400O630064006500">'[2]Page 1'!$H$29</definedName>
    <definedName name="F001P200F2400O6600">'[2]Page 1'!$I$29</definedName>
    <definedName name="F001P200F2400O6800">'[2]Page 1'!$J$29</definedName>
    <definedName name="F001P200F2500O6100">'[2]Page 1'!$F$30</definedName>
    <definedName name="F001P200F2500O6200">'[2]Page 1'!$G$30</definedName>
    <definedName name="F001P200F2500O630064006500">'[2]Page 1'!$H$30</definedName>
    <definedName name="F001P200F2500O6600">'[2]Page 1'!$I$30</definedName>
    <definedName name="F001P200F2500O6800">'[2]Page 1'!$J$30</definedName>
    <definedName name="F001P200F2600O6100">'[2]Page 1'!$F$31</definedName>
    <definedName name="F001P200F2600O6200">'[2]Page 1'!$G$31</definedName>
    <definedName name="F001P200F2600O630064006500">'[2]Page 1'!$H$31</definedName>
    <definedName name="F001P200F2600O6600">'[2]Page 1'!$I$31</definedName>
    <definedName name="F001P200F2600O6800">'[2]Page 1'!$J$31</definedName>
    <definedName name="F001P200F2900O6100">'[2]Page 1'!$F$32</definedName>
    <definedName name="F001P200F2900O6200">'[2]Page 1'!$G$32</definedName>
    <definedName name="F001P200F2900O630064006500">'[2]Page 1'!$H$32</definedName>
    <definedName name="F001P200F2900O6600">'[2]Page 1'!$I$32</definedName>
    <definedName name="F001P200F2900O6800">'[2]Page 1'!$J$32</definedName>
    <definedName name="F001P200F3000O6100">'[2]Page 1'!$F$33</definedName>
    <definedName name="F001P200F3000O6200">'[2]Page 1'!$G$33</definedName>
    <definedName name="F001P200F3000O630064006500">'[2]Page 1'!$H$33</definedName>
    <definedName name="F001P200F3000O6600">'[2]Page 1'!$I$33</definedName>
    <definedName name="F001P200F3000O6800">'[2]Page 1'!$J$33</definedName>
    <definedName name="F001P200PYDisabilityTot">'[2]Page 2'!$F$7</definedName>
    <definedName name="F001P200Subtotal">'[2]Page 2'!$G$7</definedName>
    <definedName name="F001P200TotBudgFY">'[2]Page 1'!$L$34</definedName>
    <definedName name="F001P400O6100">'[2]Page 1'!$F$35</definedName>
    <definedName name="F001P400O6200">'[2]Page 1'!$G$35</definedName>
    <definedName name="F001P400O630064006500">'[2]Page 1'!$H$35</definedName>
    <definedName name="F001P400O6600">'[2]Page 1'!$I$35</definedName>
    <definedName name="F001P400O6800">'[2]Page 1'!$J$35</definedName>
    <definedName name="F001P510O6100">'[2]Page 1'!$F$36</definedName>
    <definedName name="F001P510O6200">'[2]Page 1'!$G$36</definedName>
    <definedName name="F001P510O630064006500">'[2]Page 1'!$H$36</definedName>
    <definedName name="F001P510O6600">'[2]Page 1'!$I$36</definedName>
    <definedName name="F001P510O6800">'[2]Page 1'!$J$36</definedName>
    <definedName name="F001P530">'[2]Page 1'!$L$38</definedName>
    <definedName name="F001P530O6100">'[2]Page 1'!$F$38</definedName>
    <definedName name="F001P530O6200">'[2]Page 1'!$G$38</definedName>
    <definedName name="F001P530O630064006500">'[2]Page 1'!$H$38</definedName>
    <definedName name="F001P530O6600">'[2]Page 1'!$I$38</definedName>
    <definedName name="F001P530O6800">'[2]Page 1'!$J$38</definedName>
    <definedName name="F001P540">'[2]Page 1'!$L$39</definedName>
    <definedName name="F001P540CurrPersonnel">#REF!</definedName>
    <definedName name="F001P540F1000">#REF!</definedName>
    <definedName name="F001P540F1000Personnel">#REF!</definedName>
    <definedName name="F001P540F2100">#REF!</definedName>
    <definedName name="F001P540F2100Personnel">#REF!</definedName>
    <definedName name="F001P540F2200">#REF!</definedName>
    <definedName name="F001P540F2200Personnel">#REF!</definedName>
    <definedName name="F001P540F2300">#REF!</definedName>
    <definedName name="F001P540F2300Personnel">#REF!</definedName>
    <definedName name="F001P540F2400">#REF!</definedName>
    <definedName name="F001P540F2400Personnel">#REF!</definedName>
    <definedName name="F001P540F2500">#REF!</definedName>
    <definedName name="F001P540F2500Personnel">#REF!</definedName>
    <definedName name="F001P540F2600">#REF!</definedName>
    <definedName name="F001P540F2600Personnel">#REF!</definedName>
    <definedName name="F001P540F2900">#REF!</definedName>
    <definedName name="F001P540F2900Personnel">#REF!</definedName>
    <definedName name="F001P540F3000">#REF!</definedName>
    <definedName name="F001P540F3000Personnel">#REF!</definedName>
    <definedName name="F001P540O6100">'[2]Page 1'!$F$39</definedName>
    <definedName name="F001P540O6200">'[2]Page 1'!$G$39</definedName>
    <definedName name="F001P540O630064006500">'[2]Page 1'!$H$39</definedName>
    <definedName name="F001P540O6600">'[2]Page 1'!$I$39</definedName>
    <definedName name="F001P540O6800">'[2]Page 1'!$J$39</definedName>
    <definedName name="F001P540TotalBudgFY">#REF!</definedName>
    <definedName name="F001P540TotCurrFY">#REF!</definedName>
    <definedName name="F001P550O6100">'[2]Page 1'!$F$41</definedName>
    <definedName name="F001P550O6200">'[2]Page 1'!$G$41</definedName>
    <definedName name="F001P550O630064006500">'[2]Page 1'!$H$41</definedName>
    <definedName name="F001P550O6600">'[2]Page 1'!$I$41</definedName>
    <definedName name="F001P550O6800">'[2]Page 1'!$J$41</definedName>
    <definedName name="F001P610O6100">'[2]Page 1'!$F$18</definedName>
    <definedName name="F001P610O6200">'[2]Page 1'!$G$18</definedName>
    <definedName name="F001P610O630064006500">'[2]Page 1'!$H$18</definedName>
    <definedName name="F001P610O6600">'[2]Page 1'!$I$18</definedName>
    <definedName name="F001P610O6800">'[2]Page 1'!$J$18</definedName>
    <definedName name="F001P620O6100">'[2]Page 1'!$F$19</definedName>
    <definedName name="F001P620O6200">'[2]Page 1'!$G$19</definedName>
    <definedName name="F001P620O630064006500">'[2]Page 1'!$H$19</definedName>
    <definedName name="F001P620O6600">'[2]Page 1'!$I$19</definedName>
    <definedName name="F001P620O6800">'[2]Page 1'!$J$19</definedName>
    <definedName name="F001P630O6100">'[2]Page 1'!$F$20</definedName>
    <definedName name="F001P630O6200">'[2]Page 1'!$G$20</definedName>
    <definedName name="F001P630O630064006500">'[2]Page 1'!$H$20</definedName>
    <definedName name="F001P630O6600">'[2]Page 1'!$I$20</definedName>
    <definedName name="F001P630O6800">'[2]Page 1'!$J$20</definedName>
    <definedName name="F001P700800900O6100">'[2]Page 1'!$F$21</definedName>
    <definedName name="F001P700800900O6200">'[2]Page 1'!$G$21</definedName>
    <definedName name="F001P700800900O630064006500">'[2]Page 1'!$H$21</definedName>
    <definedName name="F001P700800900O6600">'[2]Page 1'!$I$21</definedName>
    <definedName name="F001P700800900O6800">'[2]Page 1'!$J$21</definedName>
    <definedName name="F001TotalExp">'[2]Page 1'!$L$42</definedName>
    <definedName name="F001TotExpCurrFY">'[2]Page 1'!$K$42</definedName>
    <definedName name="F011CSFBL">'[2]Page 8'!$F$45</definedName>
    <definedName name="F011TotalExp">'[2]Page 3'!$J$22</definedName>
    <definedName name="F012CSFBL">'[2]Page 8'!$G$45</definedName>
    <definedName name="F012TotalExp">'[2]Page 3'!$J$39</definedName>
    <definedName name="F013CSFBL">'[2]Page 8'!$H$45</definedName>
    <definedName name="F013TotalExp">'[2]Page 3'!$J$57</definedName>
    <definedName name="F020TotBudgFY">'[2]Page 6'!$H$45</definedName>
    <definedName name="F020TotCurrFY">'[2]Page 6'!$F$45</definedName>
    <definedName name="F050BudgFY">'[2]Page 6'!$T$5</definedName>
    <definedName name="F050CurrFY">'[2]Page 6'!$S$5</definedName>
    <definedName name="F071BudgFY">'[2]Supplement'!$M$18</definedName>
    <definedName name="F071CurrFY">'[2]Supplement'!$L$18</definedName>
    <definedName name="F072BudgFY">'[2]Supplement'!$M$30</definedName>
    <definedName name="F072CurrFY">'[2]Supplement'!$L$30</definedName>
    <definedName name="F378BudgFY">'[2]Page 6'!$J$22</definedName>
    <definedName name="F500BudgFY">'[2]Page 6'!$T$8</definedName>
    <definedName name="F500CurrFY">'[2]Page 6'!$S$8</definedName>
    <definedName name="F510BudgFY">'[2]Page 6'!$T$9</definedName>
    <definedName name="F510CurrFY">'[2]Page 6'!$S$9</definedName>
    <definedName name="F515BudgFY">'[2]Page 6'!$T$10</definedName>
    <definedName name="F515CurrFY">'[2]Page 6'!$S$10</definedName>
    <definedName name="F520BudgFY">'[2]Page 6'!$T$11</definedName>
    <definedName name="F520CurrFY">'[2]Page 6'!$S$11</definedName>
    <definedName name="F525BudgFY">'[2]Page 6'!$T$12</definedName>
    <definedName name="F525CurrFY">'[2]Page 6'!$S$12</definedName>
    <definedName name="F526BudgFY">'[2]Page 6'!$T$13</definedName>
    <definedName name="F526CurrFY">'[2]Page 6'!$S$13</definedName>
    <definedName name="F530BudgFY">'[2]Page 6'!$T$14</definedName>
    <definedName name="F530CurrFY">'[2]Page 6'!$S$14</definedName>
    <definedName name="F535BudgFY">'[2]Page 6'!$T$15</definedName>
    <definedName name="F535CurrFY">'[2]Page 6'!$S$15</definedName>
    <definedName name="F540BudgFY">'[2]Page 6'!$T$16</definedName>
    <definedName name="F540CurrFY">'[2]Page 6'!$S$16</definedName>
    <definedName name="F545BudgFY">'[2]Page 6'!$T$17</definedName>
    <definedName name="F545CurrFY">'[2]Page 6'!$S$17</definedName>
    <definedName name="F550BudgFY">'[2]Page 6'!$T$18</definedName>
    <definedName name="F550CurrFY">'[2]Page 6'!$S$18</definedName>
    <definedName name="F555BudgFY">'[2]Page 6'!$T$19</definedName>
    <definedName name="F555CurrFY">'[2]Page 6'!$S$19</definedName>
    <definedName name="F565BudgFY">'[2]Page 6'!$T$20</definedName>
    <definedName name="F565CurrFY">'[2]Page 6'!$S$20</definedName>
    <definedName name="F570BudgFY">'[2]Page 6'!$T$21</definedName>
    <definedName name="F570CurrFY">'[2]Page 6'!$S$21</definedName>
    <definedName name="F575BudgFY">'[2]Page 6'!$T$22</definedName>
    <definedName name="F575CurrFY">'[2]Page 6'!$S$22</definedName>
    <definedName name="F580BudgFY">'[2]Page 6'!$T$23</definedName>
    <definedName name="F580CurrFY">'[2]Page 6'!$S$23</definedName>
    <definedName name="F585BudgFY">'[2]Page 6'!$T$24</definedName>
    <definedName name="F585CurrFY">'[2]Page 6'!$S$24</definedName>
    <definedName name="F590BudgFY">'[2]Page 6'!$T$25</definedName>
    <definedName name="F590CurrFY">'[2]Page 6'!$S$25</definedName>
    <definedName name="F595BudgFY">'[2]Page 6'!$T$26</definedName>
    <definedName name="F595CurrFY">'[2]Page 6'!$S$26</definedName>
    <definedName name="F596BudgFY">'[2]Page 6'!$T$27</definedName>
    <definedName name="F596CurrFY">'[2]Page 6'!$S$27</definedName>
    <definedName name="F610O6731">'[2]Page 4'!$B$33</definedName>
    <definedName name="F610O6734">'[2]Page 4'!$B$34</definedName>
    <definedName name="F610O6737">'[2]Page 4'!$B$35</definedName>
    <definedName name="F610P520F1000">#REF!</definedName>
    <definedName name="F610P520F2000">#REF!</definedName>
    <definedName name="F610P520F3000">#REF!</definedName>
    <definedName name="F610P520F4000">#REF!</definedName>
    <definedName name="F610P520F5000">#REF!</definedName>
    <definedName name="F610P540F1000">#REF!</definedName>
    <definedName name="F610P540F2000">#REF!</definedName>
    <definedName name="F610P540F3000">#REF!</definedName>
    <definedName name="F610P540F4000">#REF!</definedName>
    <definedName name="F610P540F5000">#REF!</definedName>
    <definedName name="F610P540TotBudgFY">#REF!</definedName>
    <definedName name="F610TotalBudgFY">'[2]Page 4'!$K$19</definedName>
    <definedName name="F610TotalCurrFY">'[2]Page 4'!$J$19</definedName>
    <definedName name="F620BudgFY" localSheetId="9">'[2]Page 6'!#REF!</definedName>
    <definedName name="F620BudgFY">'[2]Page 6'!#REF!</definedName>
    <definedName name="F620CurrFY" localSheetId="9">'[2]Page 6'!#REF!</definedName>
    <definedName name="F620CurrFY">'[2]Page 6'!#REF!</definedName>
    <definedName name="F620TotalBudgFY">'[2]Page 5'!$K$8</definedName>
    <definedName name="F620TotalCurrFY">'[2]Page 5'!$J$8</definedName>
    <definedName name="F630TotalBudgFY">'[2]Page 5'!$G$8</definedName>
    <definedName name="F630TotalCurrFY">'[2]Page 5'!$F$8</definedName>
    <definedName name="F639BudgFY">'[2]Page 6'!$T$28</definedName>
    <definedName name="F639CurrFY">'[2]Page 6'!$S$28</definedName>
    <definedName name="F650BudgFY">'[2]Page 6'!$T$29</definedName>
    <definedName name="F650CurrFY">'[2]Page 6'!$S$29</definedName>
    <definedName name="F660BudgFY">'[2]Page 6'!$T$30</definedName>
    <definedName name="F660CurrFY">'[2]Page 6'!$S$30</definedName>
    <definedName name="F665BudgFY">'[2]Page 6'!$T$31</definedName>
    <definedName name="F665CurrFY">'[2]Page 6'!$S$31</definedName>
    <definedName name="F686BudgFY">'[2]Page 6'!$T$32</definedName>
    <definedName name="F686CurrFY">'[2]Page 6'!$S$32</definedName>
    <definedName name="F691BudgFY">'[2]Page 6'!$T$33</definedName>
    <definedName name="F691CurrFY">'[2]Page 6'!$S$33</definedName>
    <definedName name="F695TotalBudgFY">'[2]Page 5'!$I$8</definedName>
    <definedName name="F695TotalCurrFY">'[2]Page 5'!$H$8</definedName>
    <definedName name="F700BudgFY">'[2]Page 6'!$T$34</definedName>
    <definedName name="F700CurrFY">'[2]Page 6'!$S$34</definedName>
    <definedName name="F720BudgFY">'[2]Page 6'!$T$35</definedName>
    <definedName name="F720CurrFY">'[2]Page 6'!$S$35</definedName>
    <definedName name="F9__OPEBBudgFY">'[2]Page 6'!$T$40</definedName>
    <definedName name="F9__OPEBCurrFY">'[2]Page 6'!$S$40</definedName>
    <definedName name="F9__OtherBudgFY">'[2]Page 6'!$T$41</definedName>
    <definedName name="F9__OtherCurrFY">'[2]Page 6'!$S$41</definedName>
    <definedName name="F9__SelfInsBudgFY">'[2]Page 6'!$T$38</definedName>
    <definedName name="F9__SelfInsCurrFY">'[2]Page 6'!$S$38</definedName>
    <definedName name="F955BudgFY">'[2]Page 6'!$T$39</definedName>
    <definedName name="F955CurrFY">'[2]Page 6'!$S$39</definedName>
    <definedName name="FederalandStateProjectsTotal">'Page 2'!$E$37</definedName>
    <definedName name="FederalAuditExpense">'Instructions'!#REF!</definedName>
    <definedName name="FP11001130TitleI">'Page 2'!$E$5</definedName>
    <definedName name="FP11401150TitleII">'Page 2'!$E$6</definedName>
    <definedName name="FP1160TitleIV">'Page 2'!$E$7</definedName>
    <definedName name="FP11701180TitleV">'Page 2'!$E$8</definedName>
    <definedName name="FP1190TitleIII">'Page 2'!$E$9</definedName>
    <definedName name="FP1200TitleVII">'Page 2'!$E$10</definedName>
    <definedName name="FP1210TitleVI">'Page 2'!$E$11</definedName>
    <definedName name="FP1220IDEA">'Page 2'!$E$12</definedName>
    <definedName name="FP1230Johnson">'Page 2'!$E$13</definedName>
    <definedName name="FP1240WIA">'Page 2'!$E$14</definedName>
    <definedName name="FP1250AEA">'Page 2'!$E$15</definedName>
    <definedName name="FP12601270VocEd">'Page 2'!$E$16</definedName>
    <definedName name="FP1280TitleX">'Page 2'!$E$17</definedName>
    <definedName name="FP1290Medicaid">'Page 2'!$E$18</definedName>
    <definedName name="FP13__ImpactAid">'Page 2'!$E$20</definedName>
    <definedName name="FP1300Charter">'Page 2'!$E$19</definedName>
    <definedName name="FP13101399Other">'Page 2'!$E$21</definedName>
    <definedName name="FP1420ExtendedSchool">'Page 2'!$E$26</definedName>
    <definedName name="FY18Average">'Cover'!$R$41</definedName>
    <definedName name="GBLBudgFY">'[2]Page 7'!$J$56</definedName>
    <definedName name="HSCountDORtoDOA" localSheetId="8">'[2]Data Entry'!$N$145</definedName>
    <definedName name="HSCountDORtoDOA" localSheetId="9">'[2]Data Entry'!$N$145</definedName>
    <definedName name="HSCountDORtoDOA">#REF!</definedName>
    <definedName name="IIPClassSizeReduction">'Page 2'!$N$19</definedName>
    <definedName name="IIPDropoutPreventionPrograms">'Page 2'!$N$20</definedName>
    <definedName name="IIPInstructionalImprovementPrograms">'Page 2'!$N$21</definedName>
    <definedName name="IIPTeacherCompensationIncreases">'Page 2'!$N$18</definedName>
    <definedName name="Incr200Days">'Data Entry'!$D$61</definedName>
    <definedName name="IncreaseSinceFY18">'Cover'!$R$42</definedName>
    <definedName name="IndividualCharterSchoolCounts">'Instructions'!#REF!</definedName>
    <definedName name="JTEDBudgFY">'[2]Page 2'!$G$14</definedName>
    <definedName name="MaintenanceAndOperationMonies">'Instructions'!#REF!</definedName>
    <definedName name="NonFederalAuditExpense">'Instructions'!#REF!</definedName>
    <definedName name="OtherFundsBudgFY">'[2]Page 6'!$T$36</definedName>
    <definedName name="OtherFundsCurrFY">'[2]Page 6'!$S$36</definedName>
    <definedName name="OtherStateProjects" localSheetId="9">'Instructions'!#REF!</definedName>
    <definedName name="OtherStateProjects">'Instructions'!#REF!</definedName>
    <definedName name="P200CareerEducation">'Page 2'!$N$11</definedName>
    <definedName name="P200CareerEducationCY">'Page 2'!$M$11</definedName>
    <definedName name="P200ELLCompensatoryInstruction">'Page 2'!$N$8</definedName>
    <definedName name="P200ELLCompensatoryInstructionCY">'Page 2'!$M$8</definedName>
    <definedName name="P200ELLIncrementalCosts">'Page 2'!$N$7</definedName>
    <definedName name="P200ELLIncrementalCostsCY">'Page 2'!$M$7</definedName>
    <definedName name="P200GiftedEducation">'Page 2'!$N$6</definedName>
    <definedName name="P200GiftedEducationCY">'Page 2'!$M$6</definedName>
    <definedName name="P200RemedialEducation">'Page 2'!$N$9</definedName>
    <definedName name="P200RemedialEducationCY">'Page 2'!$M$9</definedName>
    <definedName name="P200VocationalandTechnologicalEd">'Page 2'!$N$10</definedName>
    <definedName name="P200VocationalandTechnologicalEdCY">'Page 2'!$M$10</definedName>
    <definedName name="Page2l6and8" localSheetId="9">'[2]Instructions'!#REF!</definedName>
    <definedName name="Page2l6and8">'[2]Instructions'!#REF!</definedName>
    <definedName name="Page4">'[3]Page 5'!$A$1:$O$44</definedName>
    <definedName name="PercentageIncrease">'[2]Cover'!$S$34</definedName>
    <definedName name="PercentStatewideWeightedStudentCount">'Data Entry'!$C$76</definedName>
    <definedName name="Pg1EmployeeBenefits">'Instructions'!$C$13</definedName>
    <definedName name="Pg1General">'Instructions'!$C$8</definedName>
    <definedName name="Pg1Line37">'Instructions'!$C$12</definedName>
    <definedName name="Pg1Program200">'Instructions'!$C$9</definedName>
    <definedName name="Pg1Program550">'Instructions'!$C$10</definedName>
    <definedName name="Pg2ExpensesByType">'Instructions'!$C$21</definedName>
    <definedName name="Pg2InstructionalImprovementProj">'Instructions'!$C$23</definedName>
    <definedName name="Pg2Line1">'Instructions'!$C$19</definedName>
    <definedName name="Pg2Line8">'Instructions'!$C$20</definedName>
    <definedName name="Pg2Lines3and4">'Instructions'!$C$24</definedName>
    <definedName name="Pg2SpecialEd">'Instructions'!$C$18</definedName>
    <definedName name="Pg2StateEqualAssist">'Instructions'!$C$22</definedName>
    <definedName name="Pg3ClassroomSiteProj">'Instructions'!$C$25</definedName>
    <definedName name="Pg4CompensatoryInstructionProj">'Instructions'!$C$27</definedName>
    <definedName name="Pg4EnglishLanguageLearnerProj">'Instructions'!$C$26</definedName>
    <definedName name="PrimTaxRateCurrFY">'[2]Cover'!$N$13</definedName>
    <definedName name="_xlnm.Print_Area" localSheetId="6">'Budget Summary'!$A$1:$M$47</definedName>
    <definedName name="_xlnm.Print_Area" localSheetId="8">'Calculations'!$A$1:$O$112</definedName>
    <definedName name="_xlnm.Print_Area" localSheetId="9">'CHAR55'!$A$1:$J$138</definedName>
    <definedName name="_xlnm.Print_Area" localSheetId="1">'Charter Contact Info'!$A$1:$H$28</definedName>
    <definedName name="_xlnm.Print_Area" localSheetId="0">'Cover'!$A$1:$S$42</definedName>
    <definedName name="_xlnm.Print_Area" localSheetId="7">'Data Entry'!$A$1:$P$77</definedName>
    <definedName name="_xlnm.Print_Area" localSheetId="2">'Page 1'!$A$1:$N$50</definedName>
    <definedName name="_xlnm.Print_Area" localSheetId="3">'Page 2'!$A$1:$O$47</definedName>
    <definedName name="_xlnm.Print_Area" localSheetId="4">'Page 3'!$A$1:$M$59</definedName>
    <definedName name="_xlnm.Print_Area" localSheetId="5">'Page 4'!$A$1:$P$43</definedName>
    <definedName name="_xlnm.Print_Area">'Page 4'!$A$1:$P$43</definedName>
    <definedName name="_xlnm.Print_Titles" localSheetId="10">'Instructions'!$1:$1</definedName>
    <definedName name="PriorYearSalary" localSheetId="8">'[2]Cover'!$S$32</definedName>
    <definedName name="PriorYearSalary" localSheetId="9">'[2]Cover'!$S$32</definedName>
    <definedName name="PriorYearSalary">'Cover'!$R$33</definedName>
    <definedName name="Prop123AdditionalFunding">'Instructions'!#REF!</definedName>
    <definedName name="PSD12WSC">'Data Entry'!#REF!</definedName>
    <definedName name="ResultsBasedFunding">'Instructions'!$C$16</definedName>
    <definedName name="SalaryComments">'[2]Cover'!$K$36</definedName>
    <definedName name="SalaryInc" localSheetId="9">'[2]Instructions'!#REF!</definedName>
    <definedName name="SalaryInc">'[2]Instructions'!#REF!</definedName>
    <definedName name="SalaryIncl1and2" localSheetId="9">'[2]Instructions'!#REF!</definedName>
    <definedName name="SalaryIncl1and2">'[2]Instructions'!#REF!</definedName>
    <definedName name="SalaryIncl3and4" localSheetId="9">'[2]Instructions'!#REF!</definedName>
    <definedName name="SalaryIncl3and4">'[2]Instructions'!#REF!</definedName>
    <definedName name="SalaryIncl6" localSheetId="9">'[2]Instructions'!#REF!</definedName>
    <definedName name="SalaryIncl6">'[2]Instructions'!#REF!</definedName>
    <definedName name="SalaryIncl7" localSheetId="9">'[2]Instructions'!#REF!</definedName>
    <definedName name="SalaryIncl7">'[2]Instructions'!#REF!</definedName>
    <definedName name="SalaryIncrease">'[2]Cover'!$S$33</definedName>
    <definedName name="SalaryIncreaseFromPriorYear">'Cover'!$R$34</definedName>
    <definedName name="SalaryPercentageIncrease">'Cover'!$R$35</definedName>
    <definedName name="SEIP1071P260F1000">'Page 4'!$N$9</definedName>
    <definedName name="SEIP1071P260F1000PPL">'Page 4'!$G$9</definedName>
    <definedName name="SEIP1071P260F2100">'Page 4'!$N$11</definedName>
    <definedName name="SEIP1071P260F2100PPL">'Page 4'!$G$11</definedName>
    <definedName name="SEIP1071P260F2200">'Page 4'!$N$12</definedName>
    <definedName name="SEIP1071P260F2200PPL">'Page 4'!$G$12</definedName>
    <definedName name="SEIP1071P260F2300">'Page 4'!$N$13</definedName>
    <definedName name="SEIP1071P260F2300PPL">'Page 4'!$G$13</definedName>
    <definedName name="SEIP1071P260F2400">'Page 4'!$N$14</definedName>
    <definedName name="SEIP1071P260F2400PPL">'Page 4'!$G$14</definedName>
    <definedName name="SEIP1071P260F2500">'Page 4'!$N$15</definedName>
    <definedName name="SEIP1071P260F2500PPL">'Page 4'!$G$15</definedName>
    <definedName name="SEIP1071P260F2600">'Page 4'!$N$16</definedName>
    <definedName name="SEIP1071P260F2600PPL">'Page 4'!$G$16</definedName>
    <definedName name="SEIP1071P260F2900">'Page 4'!$N$17</definedName>
    <definedName name="SEIP1071P260F2900PPL">'Page 4'!$G$17</definedName>
    <definedName name="SEIP1071P430F2700">'Page 4'!$N$21</definedName>
    <definedName name="SEIP1071P430F2700PPL">'Page 4'!$G$21</definedName>
    <definedName name="SP1000ClassSiteProj">'Page 1'!$L$44</definedName>
    <definedName name="SP1000ClassSiteProjCY">'Page 1'!$K$44</definedName>
    <definedName name="SP1000CompInstrProj">'Page 1'!$L$47</definedName>
    <definedName name="SP1000CompInstrProjCY">'Page 1'!$K$47</definedName>
    <definedName name="SP1000FedStProj">'Page 1'!$L$48</definedName>
    <definedName name="SP1000FedStProjCY">'Page 1'!$K$48</definedName>
    <definedName name="SP1000InstrImpProj">'Page 1'!$L$45</definedName>
    <definedName name="SP1000InstrImpProjCY">'Page 1'!$K$45</definedName>
    <definedName name="SP1000P100F1000">'Page 1'!$L$8</definedName>
    <definedName name="SP1000P100F1000CY">'Page 1'!$K$8</definedName>
    <definedName name="SP1000P100F2100">'Page 1'!$L$10</definedName>
    <definedName name="SP1000P100F2100CY">'Page 1'!$K$10</definedName>
    <definedName name="SP1000P100F2200">'Page 1'!$L$11</definedName>
    <definedName name="SP1000P100F2200CY">'Page 1'!$K$11</definedName>
    <definedName name="SP1000P100F2300">'Page 1'!$L$12</definedName>
    <definedName name="SP1000P100F2300CY">'Page 1'!$K$12</definedName>
    <definedName name="SP1000P100F2400">'Page 1'!$L$13</definedName>
    <definedName name="SP1000P100F2400CY">'Page 1'!$K$13</definedName>
    <definedName name="SP1000P100F2500">'Page 1'!$L$14</definedName>
    <definedName name="SP1000P100F2500CY">'Page 1'!$K$14</definedName>
    <definedName name="SP1000P100F2600">'Page 1'!$L$15</definedName>
    <definedName name="SP1000P100F2600CY">'Page 1'!$K$15</definedName>
    <definedName name="SP1000P100F2900">'Page 1'!$L$16</definedName>
    <definedName name="SP1000P100F2900CY">'Page 1'!$K$16</definedName>
    <definedName name="SP1000P100F3000">'Page 1'!$L$17</definedName>
    <definedName name="SP1000P100F3000CY">'Page 1'!$K$17</definedName>
    <definedName name="SP1000P100F4000">'Page 1'!$L$18</definedName>
    <definedName name="SP1000P100F4000CY">'Page 1'!$K$18</definedName>
    <definedName name="SP1000P100F5000">'Page 1'!$L$19</definedName>
    <definedName name="SP1000P100F5000CY">'Page 1'!$K$19</definedName>
    <definedName name="SP1000P200F1000">'Page 1'!$L$25</definedName>
    <definedName name="SP1000P200F1000CY">'Page 1'!$K$25</definedName>
    <definedName name="SP1000P200F2100">'Page 1'!$L$27</definedName>
    <definedName name="SP1000P200F2100CY">'Page 1'!$K$27</definedName>
    <definedName name="SP1000P200F2200">'Page 1'!$L$28</definedName>
    <definedName name="SP1000P200F2200CY">'Page 1'!$K$28</definedName>
    <definedName name="SP1000P200F2300">'Page 1'!$L$29</definedName>
    <definedName name="SP1000P200F2300CY">'Page 1'!$K$29</definedName>
    <definedName name="SP1000P200F2400">'Page 1'!$L$30</definedName>
    <definedName name="SP1000P200F2400CY">'Page 1'!$K$30</definedName>
    <definedName name="SP1000P200F2500">'Page 1'!$L$31</definedName>
    <definedName name="SP1000P200F2500CY">'Page 1'!$K$31</definedName>
    <definedName name="SP1000P200F2600">'Page 1'!$L$32</definedName>
    <definedName name="SP1000P200F2600CY">'Page 1'!$K$32</definedName>
    <definedName name="SP1000P200F2900">'Page 1'!$L$33</definedName>
    <definedName name="SP1000P200F2900CY">'Page 1'!$K$33</definedName>
    <definedName name="SP1000P200F3000">'Page 1'!$L$34</definedName>
    <definedName name="SP1000P200F3000CY">'Page 1'!$K$34</definedName>
    <definedName name="SP1000P200F4000">'Page 1'!$L$35</definedName>
    <definedName name="SP1000P200F4000CY">'Page 1'!$K$35</definedName>
    <definedName name="SP1000P200F5000">'Page 1'!$L$36</definedName>
    <definedName name="SP1000P200F5000CY">'Page 1'!$K$36</definedName>
    <definedName name="SP1000P400">'Page 1'!$L$39</definedName>
    <definedName name="SP1000P400CY">'Page 1'!$K$39</definedName>
    <definedName name="SP1000P530">'Page 1'!$L$40</definedName>
    <definedName name="SP1000P530CY">'Page 1'!$K$40</definedName>
    <definedName name="SP1000P540">'Page 1'!$L$41</definedName>
    <definedName name="SP1000P540CY">'Page 1'!$K$41</definedName>
    <definedName name="SP1000P550">'Page 1'!$L$42</definedName>
    <definedName name="SP1000P550CY">'Page 1'!$K$42</definedName>
    <definedName name="SP1000P610">'Page 1'!$L$20</definedName>
    <definedName name="SP1000P610CY">'Page 1'!$K$20</definedName>
    <definedName name="SP1000P620">'Page 1'!$L$21</definedName>
    <definedName name="SP1000P620CY">'Page 1'!$K$21</definedName>
    <definedName name="SP1000P630700800900">'Page 1'!$L$22</definedName>
    <definedName name="SP1000P630700800900CY">'Page 1'!$K$22</definedName>
    <definedName name="SP1000StruEngImmProj">'Page 1'!$L$46</definedName>
    <definedName name="SP1000StruEngImmProjCY">'Page 1'!$K$46</definedName>
    <definedName name="SP1000Total">'Page 1'!$L$43</definedName>
    <definedName name="SP1000TotalCY">'Page 1'!$K$43</definedName>
    <definedName name="SP1400VocEd">'Page 2'!$E$24</definedName>
    <definedName name="SP1410EarlyChildhoodBlockGrant">'Page 2'!$E$25</definedName>
    <definedName name="SP1425AdultBasicEd">'Page 2'!$E$27</definedName>
    <definedName name="SP1430ChemicalAbuse">'Page 2'!$E$28</definedName>
    <definedName name="SP1435AcademicContests">'Page 2'!$E$29</definedName>
    <definedName name="SP1450GiftedEd">'Page 2'!$E$30</definedName>
    <definedName name="SP1460EnvironmentalSpecialPlate">'Page 2'!$E$33</definedName>
    <definedName name="SP1465CharterSchool">'Page 2'!$E$34</definedName>
    <definedName name="SP14701499Other">'Page 2'!$E$35</definedName>
    <definedName name="SPEDCareerEdBudgFY">'[2]Page 2'!$G$13</definedName>
    <definedName name="SPEDCareerEdCurrFY">'[2]Page 2'!$F$13</definedName>
    <definedName name="SPEDELLCompInstrBudgFY">'[2]Page 2'!$G$11</definedName>
    <definedName name="SPEDELLCompInstrCurrFY">'[2]Page 2'!$F$11</definedName>
    <definedName name="SPEDELLIncCostBudgFY">'[2]Page 2'!$G$10</definedName>
    <definedName name="SPEDELLIncCostCurrFY">'[2]Page 2'!$F$10</definedName>
    <definedName name="SPEDGiftedEdBudgFY">'[2]Page 2'!$G$8</definedName>
    <definedName name="SPEDGiftedEdCurrFY">'[2]Page 2'!$F$8</definedName>
    <definedName name="SPEDRemedialEdBudgFY">'[2]Page 2'!$G$9</definedName>
    <definedName name="SPEDRemedialEdCurrFY">'[2]Page 2'!$F$9</definedName>
    <definedName name="SPEDStaff">'[2]Summary Page 2'!$K$46</definedName>
    <definedName name="SPEDTeacher">'[2]Summary Page 2'!$K$45</definedName>
    <definedName name="SPEDVocTechEdBudgFY">'[2]Page 2'!$G$12</definedName>
    <definedName name="SPEDVocTechEdCurrFY">'[2]Page 2'!$F$12</definedName>
    <definedName name="SSA_MO">'[2]Page 7'!$J$23</definedName>
    <definedName name="SSA_UCO">'[2]Page 7'!$M$23</definedName>
    <definedName name="StudentCount">'Instructions'!#REF!</definedName>
    <definedName name="StudentCountAddOns">'Instructions'!#REF!</definedName>
    <definedName name="Summ_Page2_CSF" localSheetId="9">'[2]Instructions'!#REF!</definedName>
    <definedName name="Summ_Page2_CSF">'[2]Instructions'!#REF!</definedName>
    <definedName name="Summ_Page2_SPlant" localSheetId="9">'[2]Instructions'!#REF!</definedName>
    <definedName name="Summ_Page2_SPlant">'[2]Instructions'!#REF!</definedName>
    <definedName name="Summ_Page2SPlant" localSheetId="9">'[2]Instructions'!#REF!</definedName>
    <definedName name="Summ_Page2SPlant">'[2]Instructions'!#REF!</definedName>
    <definedName name="Suppl_P.1_2">#REF!</definedName>
    <definedName name="Suppl_P.2_UCO" localSheetId="9">'[2]Instructions'!#REF!</definedName>
    <definedName name="Suppl_P.2_UCO">'[2]Instructions'!#REF!</definedName>
    <definedName name="Suppl_P12_540" localSheetId="9">'[2]Instructions'!#REF!</definedName>
    <definedName name="Suppl_P12_540">'[2]Instructions'!#REF!</definedName>
    <definedName name="Suppl_Page2_UCO" localSheetId="9">'[2]Instructions'!#REF!</definedName>
    <definedName name="Suppl_Page2_UCO">'[2]Instructions'!#REF!</definedName>
    <definedName name="SupplCover">#REF!</definedName>
    <definedName name="SuppP2UCO" localSheetId="9">'[2]Instructions'!#REF!</definedName>
    <definedName name="SuppP2UCO">'[2]Instructions'!#REF!</definedName>
    <definedName name="Total_Student_Count">'Data Entry'!$B$20</definedName>
    <definedName name="TotalCapitalAcquisitions">'Page 2'!$E$45</definedName>
    <definedName name="TotalCapitalAcquisitionsCY">'Page 2'!$D$45</definedName>
    <definedName name="TotalCIP">'Page 4'!$N$43</definedName>
    <definedName name="TotalCIP6100">'Page 4'!$H$43</definedName>
    <definedName name="TotalCIP6200">'Page 4'!$I$43</definedName>
    <definedName name="TotalCIP630064006500">'Page 4'!$J$43</definedName>
    <definedName name="TotalCIP6600">'Page 4'!$K$43</definedName>
    <definedName name="TotalCIP6800">'Page 4'!$L$43</definedName>
    <definedName name="TotalCSP6100">'Page 3'!$F$59</definedName>
    <definedName name="TotalCSP6200">'Page 3'!$G$59</definedName>
    <definedName name="TotalCSP630064006500">'Page 3'!$H$59</definedName>
    <definedName name="TotalCSP6600">'Page 3'!$I$59</definedName>
    <definedName name="TotalFederalAndStateProjects">'Instructions'!$C$14</definedName>
    <definedName name="TotalFederalProjects">'Page 2'!$E$22</definedName>
    <definedName name="TotalFederalProjectsCY">'Page 2'!$D$22</definedName>
    <definedName name="TotalInstructionalImprovement">'Page 2'!$N$22</definedName>
    <definedName name="TotalSEIP">'Page 4'!$N$22</definedName>
    <definedName name="TotalSEIP6100">'Page 4'!$H$22</definedName>
    <definedName name="TotalSEIP6200">'Page 4'!$I$22</definedName>
    <definedName name="TotalSEIP630064006500">'Page 4'!$J$22</definedName>
    <definedName name="TotalSEIP6600">'Page 4'!$K$22</definedName>
    <definedName name="TotalSEIP6800">'Page 4'!$L$22</definedName>
    <definedName name="TotalStateProjects">'Page 2'!$E$36</definedName>
    <definedName name="TotalStateProjectsCY">'Page 2'!$D$36</definedName>
    <definedName name="TotAmtCapExped">'[2]Page 7'!$M$58</definedName>
    <definedName name="TotClassSiteFundExpBudgFY">'[2]Page 3'!$J$58</definedName>
    <definedName name="TotClassSiteFundExpCurrFY">'[2]Page 3'!$I$58</definedName>
    <definedName name="TotFedProjFundBudgFY">'[2]Page 6'!$J$24</definedName>
    <definedName name="TotFedProjFundCurrFY">'[2]Page 6'!$I$24</definedName>
    <definedName name="TotSecTaxRateBudgFY">'[2]Cover'!$Q$22</definedName>
    <definedName name="TotSecTaxRateCurrFY">'[2]Cover'!$N$22</definedName>
    <definedName name="TotStateProjFundBudgFY">'[2]Page 6'!$J$37</definedName>
    <definedName name="TotStateProjFundCurrFY">'[2]Page 6'!$I$37</definedName>
    <definedName name="TotWSC">'Data Entry'!#REF!</definedName>
    <definedName name="UCBLBudgFY">'[2]Page 8'!$K$32</definedName>
    <definedName name="UnweightedStudCnt912PY" localSheetId="8">'[2]Data Entry'!$J$8</definedName>
    <definedName name="UnweightedStudCnt912PY" localSheetId="9">'[2]Data Entry'!$J$8</definedName>
    <definedName name="UnweightedStudCnt912PY">#REF!</definedName>
    <definedName name="UnweightedStudCntK8PY" localSheetId="8">'[2]Data Entry'!$I$8</definedName>
    <definedName name="UnweightedStudCntK8PY" localSheetId="9">'[2]Data Entry'!$I$8</definedName>
    <definedName name="UnweightedStudCntK8PY">#REF!</definedName>
    <definedName name="Version">'Instructions'!$C$4</definedName>
    <definedName name="WeightedSC">'Data Entry'!#REF!</definedName>
  </definedNames>
  <calcPr fullCalcOnLoad="1" fullPrecision="0"/>
</workbook>
</file>

<file path=xl/sharedStrings.xml><?xml version="1.0" encoding="utf-8"?>
<sst xmlns="http://schemas.openxmlformats.org/spreadsheetml/2006/main" count="1114" uniqueCount="557">
  <si>
    <t>Schools budgeting for special education expenses in program code 200 on page 1, lines 16-26 should report amounts allocated by program type on page 2. Supporting documentation should be retained for the allocation of expenses budgeted for individual special education programs.</t>
  </si>
  <si>
    <t xml:space="preserve">Audit services expense should be the total audit costs to be incurred during the budget year.
Classroom instruction expenses should be the total of expenses budgeted in function code 1000 for program codes 100, 200 and 500 for the budget year.
</t>
  </si>
  <si>
    <t>Total (lines 32-37)</t>
  </si>
  <si>
    <t>Separate accountability is required for each federal and state project. Therefore, charter schools should estimate the expenses for each federal or state project in which the school participates. The totals on line 32 should agree with the total columns for federal and state projects on line 37 of page 1. A.R.S §15-1261 requires charter schools to establish an E-rate Project to account for any E-rate funding received by the school. Monies budgeted for the E-rate Project should be included within the Other Federal Projects on line 17.</t>
  </si>
  <si>
    <t>1456 College Credit Exam Incentives</t>
  </si>
  <si>
    <t>1457 Results-based Funding</t>
  </si>
  <si>
    <t>College Credit Exam Incentives</t>
  </si>
  <si>
    <t>Results-based Funding</t>
  </si>
  <si>
    <t>Total State Projects (lines 19-30)</t>
  </si>
  <si>
    <t>Total Federal and State Projects (lines 18 and 31)</t>
  </si>
  <si>
    <t>Federal and State Projects (from page 2, line 32)</t>
  </si>
  <si>
    <t xml:space="preserve">4. Percentage increase </t>
  </si>
  <si>
    <t>Percentage increase</t>
  </si>
  <si>
    <t>Schools should budget for K-3 Reading Program expenses in program code 550.  The State Board of Education must give approval to a school before any portion of the monies generated by the K-3 reading support level weight may be distributed to the school. A.R.S. §15-211. Contact ADE's Move on When Reading program area with questions concerning the K-3 Reading plan requirement and approval status at:</t>
  </si>
  <si>
    <t>http://www.azed.gov/mowr/</t>
  </si>
  <si>
    <t>AzEDS/ADM Data Coordinator</t>
  </si>
  <si>
    <t>Business Manager</t>
  </si>
  <si>
    <t>Charter Representative</t>
  </si>
  <si>
    <t>Executive Assistant to Charter Representative</t>
  </si>
  <si>
    <t>Governing Board Member</t>
  </si>
  <si>
    <t>SPED Data Coordinator</t>
  </si>
  <si>
    <t>Prefix</t>
  </si>
  <si>
    <t>First Name</t>
  </si>
  <si>
    <t>Last Name</t>
  </si>
  <si>
    <t>Suffix</t>
  </si>
  <si>
    <t>Telephone Number</t>
  </si>
  <si>
    <t>Miss</t>
  </si>
  <si>
    <t>Mr.</t>
  </si>
  <si>
    <t>Ms.</t>
  </si>
  <si>
    <t>Mrs.</t>
  </si>
  <si>
    <t>Ed.D</t>
  </si>
  <si>
    <t>II</t>
  </si>
  <si>
    <t>III</t>
  </si>
  <si>
    <t>IV</t>
  </si>
  <si>
    <t>J.D.</t>
  </si>
  <si>
    <t>Jr.</t>
  </si>
  <si>
    <t>Ph.D.</t>
  </si>
  <si>
    <t>Sr.</t>
  </si>
  <si>
    <t>Dr.</t>
  </si>
  <si>
    <t>CPA</t>
  </si>
  <si>
    <t xml:space="preserve">  COUNTY  </t>
  </si>
  <si>
    <t xml:space="preserve">CTDS NUMBER  </t>
  </si>
  <si>
    <t>AZ Dept of Juvenile Corrections (AZDJC)</t>
  </si>
  <si>
    <t>BocaVox (Maestro)</t>
  </si>
  <si>
    <t>Connectionseducation (Connexus)</t>
  </si>
  <si>
    <t>Edupoint (Synergy)</t>
  </si>
  <si>
    <t>Hane Solutions (SchoolDex)</t>
  </si>
  <si>
    <t>InfiniteCampus (InfiniteCampus)</t>
  </si>
  <si>
    <t>Pearson (Powerschool)</t>
  </si>
  <si>
    <t>Strongmind (Strongmind)</t>
  </si>
  <si>
    <t>Tyler Technologies (Schoolmaster)</t>
  </si>
  <si>
    <t>Tyler Technologies (Tyler V10)</t>
  </si>
  <si>
    <t>CHARTER CONTACT INFORMATION</t>
  </si>
  <si>
    <t>Student Information System (SIS) Vendor</t>
  </si>
  <si>
    <t>Charter Contact Info</t>
  </si>
  <si>
    <t>Fill in the contact information for all positions listed on this tab. If any of the positions do not exist at your school, please fill in the appropriate person to contact related to that topic.</t>
  </si>
  <si>
    <t>Average Teacher Salary</t>
  </si>
  <si>
    <t>AVERAGE TEACHER SALARY</t>
  </si>
  <si>
    <t>Type the Date as MM/DD/YYYY</t>
  </si>
  <si>
    <t>Email Address</t>
  </si>
  <si>
    <t>via the Common Logon on ADE's website by</t>
  </si>
  <si>
    <t>County</t>
  </si>
  <si>
    <t>PSD</t>
  </si>
  <si>
    <t>K-8</t>
  </si>
  <si>
    <t>9-12</t>
  </si>
  <si>
    <t>Support Level Weight</t>
  </si>
  <si>
    <t>Student Count 100.000-499.999</t>
  </si>
  <si>
    <t>Student Count Constant</t>
  </si>
  <si>
    <t>-</t>
  </si>
  <si>
    <t>Difference</t>
  </si>
  <si>
    <t>=</t>
  </si>
  <si>
    <t>Weight Adjustment Factor</t>
  </si>
  <si>
    <t>x</t>
  </si>
  <si>
    <t>Support Level Weight Increase</t>
  </si>
  <si>
    <t>+</t>
  </si>
  <si>
    <t>Student Count 500.000-599.999</t>
  </si>
  <si>
    <t>Non-AOI Student Count</t>
  </si>
  <si>
    <t>AOI Full-Time Student Count</t>
  </si>
  <si>
    <t>AOI Part-Time Student Count</t>
  </si>
  <si>
    <t>Student Count Add-ons</t>
  </si>
  <si>
    <t>K-3 Reading</t>
  </si>
  <si>
    <t>K-3</t>
  </si>
  <si>
    <t>English Learners (ELL)</t>
  </si>
  <si>
    <t>Hearing Impairment (HI)</t>
  </si>
  <si>
    <t>Multiple Disabilities Severe Sensory Impairment</t>
  </si>
  <si>
    <t>Orthopedic Impairment (Resource)</t>
  </si>
  <si>
    <t>Orthopedic Impairment (Self Contained)</t>
  </si>
  <si>
    <t>Preschool-Severe Delay (P-SD)</t>
  </si>
  <si>
    <t>Emotional Disability (Private)</t>
  </si>
  <si>
    <t>Moderate Intellectual Disability (MOID)</t>
  </si>
  <si>
    <t>Visual Impairment (VI)</t>
  </si>
  <si>
    <t>Total Weighted Student Count</t>
  </si>
  <si>
    <t>Non-AOI</t>
  </si>
  <si>
    <t>AOI FT*</t>
  </si>
  <si>
    <t>AOI PT*</t>
  </si>
  <si>
    <t>*AOI counts shown reflect applicable full-time or part-time funding ratio.</t>
  </si>
  <si>
    <t>Non-AOI Student Counts</t>
  </si>
  <si>
    <t>Student Count</t>
  </si>
  <si>
    <t>Weighted Student Counts</t>
  </si>
  <si>
    <t>Weighted Student Count</t>
  </si>
  <si>
    <t>SubTotal</t>
  </si>
  <si>
    <t>ELL</t>
  </si>
  <si>
    <t>HI</t>
  </si>
  <si>
    <t>MD-R, A-R, SID-R</t>
  </si>
  <si>
    <t>MD-SC, A-SC, SID-SC</t>
  </si>
  <si>
    <t>P-SD</t>
  </si>
  <si>
    <t>MOID</t>
  </si>
  <si>
    <t>VI</t>
  </si>
  <si>
    <t>DD, ED, MIID, SLD, SLI, OHI</t>
  </si>
  <si>
    <t>Base Support Level</t>
  </si>
  <si>
    <t>Base Level Amount</t>
  </si>
  <si>
    <t>Base Support Level Adjustments</t>
  </si>
  <si>
    <t>Audit Service Expense</t>
  </si>
  <si>
    <t>The organizational structure or management agreement of your charter holder requires your charter holder or charter school to contract with a specific management company.</t>
  </si>
  <si>
    <t>The governing body of your charter holder has identical membership to another charter holder in this state.</t>
  </si>
  <si>
    <t>Your charter holder is a subsidiary of a corporation that has other subsidiaries that are charter holders in this state.</t>
  </si>
  <si>
    <t>Your charter holder holds more than one charter in this state.</t>
  </si>
  <si>
    <t xml:space="preserve">PSD-12 STUDENT COUNT  </t>
  </si>
  <si>
    <t>Full-time AOI Student Count</t>
  </si>
  <si>
    <t>Part-time AOI Student Count</t>
  </si>
  <si>
    <t xml:space="preserve">    Total Student Count</t>
  </si>
  <si>
    <t>Student Count 0.001-99.999</t>
  </si>
  <si>
    <t>Support Level Weight Constant</t>
  </si>
  <si>
    <t xml:space="preserve">    Support Level Weight </t>
  </si>
  <si>
    <t xml:space="preserve">Student Count 600.000 or More </t>
  </si>
  <si>
    <t>Decrease for Federal and State Monies Received for M&amp;O Purposes</t>
  </si>
  <si>
    <t xml:space="preserve">Table 1 - Individual Charter School Counts </t>
  </si>
  <si>
    <t>Support Level Weight from Table 1</t>
  </si>
  <si>
    <t>Support Level Weight from Table 2 (based on small school weight eligibility)</t>
  </si>
  <si>
    <t>Difference in Support Level Weight</t>
  </si>
  <si>
    <t>Difference in Group A Weighted Student Count for Small School Weight Adjustment</t>
  </si>
  <si>
    <t>Total K-8 and 9-12 Reduction to Base Support Level for Small School Weight Adjustment</t>
  </si>
  <si>
    <t>Total Unweighted Student Count</t>
  </si>
  <si>
    <t>For Charter Schools</t>
  </si>
  <si>
    <t>AOI Full Time Student Counts</t>
  </si>
  <si>
    <t>AOI Part Time Student Counts</t>
  </si>
  <si>
    <t xml:space="preserve">Total </t>
  </si>
  <si>
    <t xml:space="preserve">Base Support Level </t>
  </si>
  <si>
    <t>Adjusted Base Support Level</t>
  </si>
  <si>
    <t>Additional Assistance</t>
  </si>
  <si>
    <t>Additional Assistance Per Student</t>
  </si>
  <si>
    <t>Total Additional Assistance</t>
  </si>
  <si>
    <t>Equalization Assistance</t>
  </si>
  <si>
    <t>Equalization Base/Assistance</t>
  </si>
  <si>
    <t xml:space="preserve">Difference in Support Level Weight </t>
  </si>
  <si>
    <t>SUPPORT LEVEL WEIGHTS (GROUP B WEIGHTS) [A.R.S. §§15-943, 15-185 &amp; 15-808]</t>
  </si>
  <si>
    <t>BASE SUPPORT LEVEL ADJUSTMENTS [A.R.S. §§15-943 &amp; 15-185]</t>
  </si>
  <si>
    <t>INCREASE FOR ALLOCATION OF ADDITIONAL FUNDING [2016 Prop 123 &amp; Laws 2015, 1st S.S., Ch.1, §6]</t>
  </si>
  <si>
    <t>CHAIRMAN</t>
  </si>
  <si>
    <t>Estimated Allocation of Additional Prop 123 Funding</t>
  </si>
  <si>
    <t>Basic Calculations For Equalization Assistance</t>
  </si>
  <si>
    <t>FY 2019-20</t>
  </si>
  <si>
    <t>MDSSI</t>
  </si>
  <si>
    <t>OI R</t>
  </si>
  <si>
    <t>OI SC</t>
  </si>
  <si>
    <t>EDP</t>
  </si>
  <si>
    <t>Total Weighted Add-On Count</t>
  </si>
  <si>
    <t xml:space="preserve">Add-Ons </t>
  </si>
  <si>
    <t>FY2019-20 Estimated Student Count</t>
  </si>
  <si>
    <t>FY 2019-20 Estimated Student Count</t>
  </si>
  <si>
    <t>Student Counts</t>
  </si>
  <si>
    <t>Add-Ons</t>
  </si>
  <si>
    <t xml:space="preserve">Weighted Student </t>
  </si>
  <si>
    <t xml:space="preserve">Weighted
Add-On </t>
  </si>
  <si>
    <t>Estimated          40th Day                   FY 2019-20 ADM</t>
  </si>
  <si>
    <t>Estimated            40th Day                   FY 2019-20 ADM</t>
  </si>
  <si>
    <t>Total Student Count Add-On</t>
  </si>
  <si>
    <t>SUPPORT LEVEL WEIGHTS TO BE USED FOR:</t>
  </si>
  <si>
    <t xml:space="preserve">Individual Charter School Counts </t>
  </si>
  <si>
    <t>Charter Holder Total Charter School Counts (complete only if one or more criteria above are checked)</t>
  </si>
  <si>
    <t>Table 2 - Charter Holder Total Charter School Counts (only calculated if one or more criteria are checked on the Data Entry Tab)</t>
  </si>
  <si>
    <t>Total Weighted Student Count (lines 1 through 14)</t>
  </si>
  <si>
    <t>Adjustment to Charter Additional Assistance (Shown on CHAR 64-1)</t>
  </si>
  <si>
    <t>School's Percent of Statewide Weighted Student Count</t>
  </si>
  <si>
    <t>Enter total student counts for PSD, K-8, and 9-12 students for all affiliated charter schools of the charter holder. This table must be completed unless all boxes have been unchecked to indicate that the charter holder has no affiliated charter schools.</t>
  </si>
  <si>
    <t>FT AOI Student Count, funded at 95% (A.R.S. §15-808(F)(1))</t>
  </si>
  <si>
    <t>PT AOI Student Count, funded at 85% (A.R.S. §15-808(F)(1))</t>
  </si>
  <si>
    <t>2016 Prop 123 and Laws 2015, 1st S.S., Ch.1, §6, provides total additional funding of $50,000,000 to districts and charter schools on a pro rata basis. The estimated increase in additional funding is provided below. However, actual amounts will vary and ADE will notify schools of the final amounts. Schools should include these monies in their Schoolwide Project Budget. These monies may be expended for any allowable school purpose.</t>
  </si>
  <si>
    <r>
      <t xml:space="preserve">Please </t>
    </r>
    <r>
      <rPr>
        <b/>
        <sz val="10"/>
        <rFont val="Arial"/>
        <family val="2"/>
      </rPr>
      <t>uncheck</t>
    </r>
    <r>
      <rPr>
        <sz val="10"/>
        <rFont val="Arial"/>
        <family val="2"/>
      </rPr>
      <t xml:space="preserve"> each box that </t>
    </r>
    <r>
      <rPr>
        <b/>
        <sz val="10"/>
        <rFont val="Arial"/>
        <family val="2"/>
      </rPr>
      <t>does not</t>
    </r>
    <r>
      <rPr>
        <sz val="10"/>
        <rFont val="Arial"/>
        <family val="2"/>
      </rPr>
      <t xml:space="preserve"> apply. Unchecking a box indicates the criteria does not apply to the charter school. If all boxes are unchecked, the small school weight adjustment does not apply to the school. Charter schools not sponsored by the Arizona State Board for Charter Schools should contact ADE's School Finance payment team by email at SFPaymentTeam@azed.gov</t>
    </r>
  </si>
  <si>
    <t>BASE SUPPORT LEVEL WEIGHTS (GROUP A WEIGHTS) [A.R.S. §§15-943 and 15-185]</t>
  </si>
  <si>
    <t xml:space="preserve">Enter the amount received from federal or state agencies for basic maintenance and operation of the school (except for ESEA Title VIII). Do not include federal or state grants that are received for a specific purpose. (A.R.S. §15-185)
In accordance with A.R.S. §15-185(P)(1), the Auditor General has determined that the following federal monies meet the definition of “monies intended for the basic maintenance and operations of the school” (as referred to in that subsection), that must be used to reduce the base support level and state equalization assistance, as directed by A.R.S. §15-185(D). This list is not necessarily all-inclusive. The Auditor General may determine in the future that other federal or state grants meet the definition of “monies intended for the basic maintenance and operations of the school.”
</t>
  </si>
  <si>
    <t>Reduction to Base Level Amount Provided by Small School Weight (A.R.S. §15-185)</t>
  </si>
  <si>
    <t xml:space="preserve">Check box if the school has been approved to provide 200 days of instruction by ADE. </t>
  </si>
  <si>
    <t xml:space="preserve">1. Indian School Equalization Program entitlements received for:
    • Instructional Costs (Basic Program, Gifted &amp; Talented Programs, and Small School Adjustment)
    • Bilingual Instruction Costs (Supplemental Programs–Bilingual Program)
    • Exceptional Child Education Costs (Exceptional Child Programs)
    • Student Transportation Fund Costs
    • School Board Training Fund Costs (School Board Supplement)
Indian School Equalization Program entitlements received for Boarding Costs, Dormitory Costs, Intense Residential Guidance Costs, and Pre-kindergarten Costs would not be subject to the reduction.
2. Administrative Cost Grant entitlements received.
</t>
  </si>
  <si>
    <t>Check box if the school is new and will begin operations in FY 2020.</t>
  </si>
  <si>
    <t>FY 2020</t>
  </si>
  <si>
    <t>Enter the school's percentage of statewide weighted student count as reported on page 1 of its most recent Classroom Site Project Detail Report. Classroom Site Project Detail Reports can be accessed at http://apps.azed.gov/SchoolFinanceReports/Reports. Amounts should be entered as a decimal. For example 0.0601% should be entered as 0.000601.</t>
  </si>
  <si>
    <t>Charter School</t>
  </si>
  <si>
    <t>Comments on average salary calculation (optional):</t>
  </si>
  <si>
    <t>Charter's website address</t>
  </si>
  <si>
    <t>Select from dropdown</t>
  </si>
  <si>
    <t>BASE SUPPORT LEVEL WEIGHTS CALCULATION [A.R.S. §§15-943 and 15-185]</t>
  </si>
  <si>
    <t xml:space="preserve"> Base Support Level amounts from Total K-3 and Total K-3 Reading Weighted Student Counts</t>
  </si>
  <si>
    <t>Small School Weight Adjustment (Shown on CHAR 64-1)</t>
  </si>
  <si>
    <t>Support Level Difference Used to Calculate Small School Weight Adjustment</t>
  </si>
  <si>
    <t xml:space="preserve"> INCREASE FOR ALLOCATION OF ADDITIONAL FUNDING [2016 Prop 123 &amp; Laws 2015, 1st S.S., Ch.1, §6]</t>
  </si>
  <si>
    <t xml:space="preserve">    </t>
  </si>
  <si>
    <t>5. Average salary of all teachers employed in FY 2018</t>
  </si>
  <si>
    <t xml:space="preserve">6. Total percentage increase in average teacher salary since FY 2018 </t>
  </si>
  <si>
    <t>Average salary of all teachers employed in FY 2018</t>
  </si>
  <si>
    <t xml:space="preserve">Total percentage increase in average teacher salary since FY 2018 </t>
  </si>
  <si>
    <t>NOTES:</t>
  </si>
  <si>
    <t>MD-R (Multiple Disabilities-Resource), A-R (Autism-Resource), and SID-R (Severe Intellectual Disability-Resource)</t>
  </si>
  <si>
    <t>MD-SC (Multiple Disabilities-Self-Contained), A-SC (Autism-Self-Contained), and SID-SC (Severe Intellectual Disability-Self-Contained)</t>
  </si>
  <si>
    <t>DD (Developmental Delay for children in kindergarten through age 10), ED (Emotional Disabilities), MIID (Mild Intellectual Disability), SLD (Specific Learning Disability), SLI (Speech/Language Impairment), and OHI (Other Health Impairments)</t>
  </si>
  <si>
    <t>(1)</t>
  </si>
  <si>
    <t>(2)</t>
  </si>
  <si>
    <t>(3)</t>
  </si>
  <si>
    <t>MD-R, A-R, and SID-R     (1)</t>
  </si>
  <si>
    <t>MD-SC, A-SC, and SID-SC     (2)</t>
  </si>
  <si>
    <t>DD, ED, MIID, SLD, SLI, and OHI     (3)</t>
  </si>
  <si>
    <t>A.R.S. §15-211 requires schools to submit a plan to ADE by October 1 for improving the reading proficiency of its pupils in Kindergarten programs and Grades 1-3. The plan must include a budget for spending monies from both the K-3 and K-3 Reading support level weights. Schools must use monies generated by the K-3 Reading weight only on instructional purposes intended to improve reading proficiency for pupils in Kindergarten through 3rd grade with particular emphasis on pupils in Kindergarten through 2nd grade. The K-3 Reading weight will only be included in the charter's CHAR 55-1 after the school's K-3 Reading Program Plan is approved by the State Board of Education. Contact ADE's Move on When Reading program area with questions at http://www.azed.gov/mowr/</t>
  </si>
  <si>
    <t>Page 1 of 4</t>
  </si>
  <si>
    <t>Page 2 of 4</t>
  </si>
  <si>
    <t>Page 4 of 4</t>
  </si>
  <si>
    <t>Page 3 of 4</t>
  </si>
  <si>
    <t>TOTAL BUDGETED REVENUES FOR FISCAL YEAR 2019</t>
  </si>
  <si>
    <r>
      <t>ESTIMATED REVENUES BY SOURCE FOR FISC</t>
    </r>
    <r>
      <rPr>
        <sz val="10"/>
        <color indexed="12"/>
        <rFont val="Arial"/>
        <family val="2"/>
      </rPr>
      <t>AL YEAR 2020</t>
    </r>
  </si>
  <si>
    <t>The FY 2020 budget file for the version described at left will be uploaded</t>
  </si>
  <si>
    <t>AVERAGE TEACHER SALARY (A.R.S. §15-189.05)</t>
  </si>
  <si>
    <t>1. Average salary of all teachers employed in budget year 2020</t>
  </si>
  <si>
    <t>2. Average salary of all teachers employed in prior year 2019</t>
  </si>
  <si>
    <t>3. Increase in average teacher salary from the prior year 2019</t>
  </si>
  <si>
    <t>We hereby certify that the Budget for the School Year 2020 was</t>
  </si>
  <si>
    <t>English Language Learner Project (from page 4, line 11)</t>
  </si>
  <si>
    <t>Prior Year 2019</t>
  </si>
  <si>
    <t>Budget Year 2020</t>
  </si>
  <si>
    <t>Program 200 Prior Year 2019</t>
  </si>
  <si>
    <t>Program 200 Budget Year 2020</t>
  </si>
  <si>
    <t>Vocational and Technical Ed.</t>
  </si>
  <si>
    <t>Prior Year  2019</t>
  </si>
  <si>
    <t>English Language Learner Project - 1071</t>
  </si>
  <si>
    <t>FY 2020 SUMMARY OF CHARTER SCHOOL PROPOSED BUDGET</t>
  </si>
  <si>
    <t>English Language Learner</t>
  </si>
  <si>
    <t>Average salary of all teachers employed in the budget year 2020</t>
  </si>
  <si>
    <t>Average salary of all teachers employed in the prior year 2019</t>
  </si>
  <si>
    <t>Increase in average teacher salary from the prior year 2019</t>
  </si>
  <si>
    <t xml:space="preserve">Enter total student counts for the charter school for PSD, K-8, and 9-12 students. Student count must be estimated student counts based on actual registration of students. Actual registration of PSD and kindergarten students should be divided by 2 to get estimated student counts for kindergarten. After the 100th day in session, the ADE FY 2020 ADM20 - Summary Adjusted ADM Report for the 100th day should be used, available via ADE Connect, AzEDS Portal. Schools approved to provide 200 days of instruction will adjust their FY 2021 budget for discrepancies between the FY 2020 100th-day and 200th-day student counts. (The Total K-UE report is used for K-8 and/or 9-12) </t>
  </si>
  <si>
    <t>A.R.S. §15-902.04 allows schools that provide 200 days of instruction to increase the base level amount by 5%. In order to be eligible for this increase in funding, the school must be approved for 200 days of instruction by ADE and its sponsor. Schools must receive approval from ADE for FY 2020 prior to June 1, 2019. Please contact ADE's School Finance account analyst team by email with questions concerning 200 days of instruction at SFAnalystTeam@azed.gov</t>
  </si>
  <si>
    <t>FY 2018 Non-Federal Audit Service Actual Expense</t>
  </si>
  <si>
    <t>Mr</t>
  </si>
  <si>
    <t xml:space="preserve">KURT </t>
  </si>
  <si>
    <t>HUZAR</t>
  </si>
  <si>
    <t>Ms</t>
  </si>
  <si>
    <t>AMBER</t>
  </si>
  <si>
    <t>STARNES</t>
  </si>
  <si>
    <t>ambers@northstaraz.com</t>
  </si>
  <si>
    <t>LINDA</t>
  </si>
  <si>
    <t>CARSON</t>
  </si>
  <si>
    <t>specialeducation@northstaraz.com</t>
  </si>
  <si>
    <t>SCOTT</t>
  </si>
  <si>
    <t>PHILLIPS</t>
  </si>
  <si>
    <t>captainscottphillips@yahoo.com</t>
  </si>
  <si>
    <t>Schools must include audit costs for FY 2020 under "Selected Expenses By Type" on Budget page 2 to receive this increase. Enter the amount expended for audit services in FY 2018 from non-federal monies to obtain the allowable increase in BSL for the budget year. Do not include the costs of consulting or other nonaudit services paid to audit firms (e.g., application fees paid for submission of school's reports to ASBO and GFOA for certification or for the preparation of the Meritorious Budget Award application to ASBO). A.R.S. §15-914(F) allows schools to increase their base support levels if audit costs will be incurred for the budget year.</t>
  </si>
  <si>
    <t>FY 2018 Federal Audit Service Actual Expense</t>
  </si>
  <si>
    <t>Enter the amount expended for audit services in FY 2018 from federal monies. Do not include the costs of consulting or other nonaudit services paid to audit firms (e.g., application fees paid for submission of school's reports to ASBO and GFOA for certification or for the preparation of the Meritorious Budget Award application to ASBO).</t>
  </si>
  <si>
    <t>These instructions are provided to help charter schools prepare the expenditure budget. Within the forms, blue font and light blue highlights indicate that an instruction is linked to that specific line. An instructions button has also been provided that links to any general instructions or to the first instruction for a page. The forms have been set to print without "objects" so that the instructions buttons do not print.
The cells in the prior year columns on the budget forms contain formulas that will bring forward budget amounts from the FY 2019 budget forms. However, the cells have not been protected so users may also enter the information manually. To bring forward amounts automatically, the most recently revised FY 2019 budget must be saved as budget19.xls in the C:\CSFORMS folder. If the file is not named budget19.xls, the formulas will not function properly. Excel will ask the user to update information when the budget20.xls file is opened. Users should review amounts reported in the prior year column to ensure they agree to the school’s most recently revised FY 2019 budget.
Schools should complete the Data Entry page before completing Pages 1 through 4. To ensure that the school's data can be properly processed by ADE, formulas should not be changed without specific instructions from either the Arizona Auditor General's Office, Accounting Services Division, or ADE, School Finance.</t>
  </si>
  <si>
    <t>Estimated revenues by source for FY 2020 should be based on the best information available at the time the budget is prepared. Estimated revenues may be more or less than estimated expenses.</t>
  </si>
  <si>
    <t>In accordance with A.R.S. §15-189.05, a school's budget shall include the prominent display of the average salary of all teachers employed by the school for the budget and prior years, and the increase in the average salary of all teachers employed by the school for the budget year reported in dollars and percentage. Schools must also prominently post this information on their website home page separately from its budget. The statute does not provide a definition of a teacher. Each charter should be consistent in the type of salary information included in this table from year to year. An optional comment box is available to provide any additional detail regarding the average teacher salary calculation. Schools should revise the average teacher salary information anytime a revised budget is submitted to ADE.</t>
  </si>
  <si>
    <t xml:space="preserve">Depreciation expense should not be reported on the budget forms. Purchases of capital assets (land and land improvements, site improvements, buildings and building improvements, equipment, and construction in progress) should only be reported in the Capital Acquisitions section of page 2. 
</t>
  </si>
  <si>
    <t>Schools participating in the Arizona State Retirement System should budget in object code 6200 at the rate of 11.94% for retirement contributions and 0.17% for long term disability contributions for covered positions. For positions subject to the Alternate Contribution Rate, schools should budget at the rate of 10.41%.</t>
  </si>
  <si>
    <t>Schools participating in the National School Lunch Program are required to spend a portion of their state equalization assistance to support the operation of their food service program. Schools must report on their budget the amount of state equalization assistance that will be expended for their food service program during the 2020 school year. This amount will be used to determine school compliance with state matching requirements pursuant to CFR Title 7, §210.17(a). ADE’s Health and Nutrition Services will verify the amount reported on the budget was reported as spent when schools’ annual financial reports are submitted. Any questions related to state matching requirements should be directed to Health and Nutrition Services at (602) 542-8700.</t>
  </si>
  <si>
    <t>English Language Learner Project</t>
  </si>
  <si>
    <t>See USFRCS page III-B-2 for guidance on the use of the English Language Learner Project (Project 1071). In order to efficiently record English Language Learner expenses, schools should be using program code 260, Special Education—ELL Incremental Costs and Program 430, Pupil Transportation—ELL Incremental Costs, as applicable.</t>
  </si>
  <si>
    <t>See USFRCS page III-B-2 for guidance on the use of the Compensatory Instruction Project (Project 1072). In order to efficiently record English language learner and compensatory instruction expenses, schools should be using program codes 265, Special Education—ELL Compensatory Instruction and Program 435, Pupil Transportation—ELL Compensatory Instruction, as applicable.</t>
  </si>
  <si>
    <t xml:space="preserve">Schools receive revenues from the Classroom Site Project each year. A.R.S. §15-977(G)(1) requires the Joint Legislative Budget Committee to calculate an estimated per pupil amount each year. For FY 2020 the estimated cash payment is $434.00 per “Group A weighted” pupil (CHAR55 Tab, Total of Non-AOI Weighted Student Count—Line 17, AOI Full Time Weighted Student Count—Line 52 and AOI Part Time Weighted Student Count—Line 86).
See USFRCS page III-B-1 and USFRCS Memorandum No. 44 for additional guidance on the use of Classroom Site Project monies.
</t>
  </si>
  <si>
    <r>
      <t>Schools that receive monies from the college credit by examination incentive program per A.R.S §15-249.06, as amended by Laws 2019, Ch. 98, §1, should deposit them in Project 1456</t>
    </r>
    <r>
      <rPr>
        <sz val="10"/>
        <rFont val="Calibri"/>
        <family val="2"/>
      </rPr>
      <t>—</t>
    </r>
    <r>
      <rPr>
        <sz val="10"/>
        <rFont val="Arial"/>
        <family val="2"/>
      </rPr>
      <t>College Credit Exam Incentives. At least 50% of the bonus monies received from this program must be distributed to the classroom teacher for each student who passes a qualifying exam and to other teachers of relevant subjects who instructed that student, including but not limited to teachers in the same department or subject matter that contributed to the student passing the exam, as identified by the governing body or the school principal. The remainder of any bonus monies received from this program must be allocated by the school principal on behalf of students who receive a passing score and may be used for teacher professional development or student instructional support, reimbursement of exam fees or instructional materials.</t>
    </r>
  </si>
  <si>
    <t>Charter Additional Assistance (From CHAR55 tab)</t>
  </si>
  <si>
    <r>
      <t>Before the 100th day in session, schools may use estimated student counts based on actual registration of students to determine the Add-On weighted counts or counts may be left blank. After the 100th day in session for all schools, the student counts to determine the Add-On weighted counts should be obtained from the following ADE reports:
K-3 and K-3 Reading: ADM20</t>
    </r>
    <r>
      <rPr>
        <sz val="10"/>
        <rFont val="Calibri"/>
        <family val="2"/>
      </rPr>
      <t>—</t>
    </r>
    <r>
      <rPr>
        <sz val="10"/>
        <rFont val="Arial"/>
        <family val="2"/>
      </rPr>
      <t xml:space="preserve">Summary Adjusted ADM Report    
ELL: English Learners (ELL) Students Served in Programs Under A.R.S. §15-754, ELL20—English Language Learner Average Daily Membership Summary Report          
Children with Disabilities: SPED20—Special Education Average Daily Membership Summary Report   </t>
    </r>
  </si>
  <si>
    <t>Adjusted Base Level Amount (A.R.S. §15-901, as amended by Laws 2019, Ch. 265, §7)</t>
  </si>
  <si>
    <t>CHARTER ADDITIONAL ASSISTANCE [A.R.S. §15-185(B)(4), as amended by Laws 2019, Ch. 265, §3]</t>
  </si>
  <si>
    <t>Laws 2019, Ch. 265, §21 requires ADE to reduce charter additional assistance for all charter schools for FY 2020. For budget adoption, the reduction is estimated by reducing the CAA on line 1 by 1.8%. The actual amount will vary and ADE will notify schools of the final amounts.</t>
  </si>
  <si>
    <t xml:space="preserve">Schools that receive monies from the Results-based Funding Project per A.R.S §15-249.08, as amended by Laws 2019, Ch. 265, §5, should deposit them in Project 1457—Results-based Funding. Monies received should not supplant monies budgeted or received from any other source that are generally provided to that school. The majority of the monies received must be used at the school that earned the results for teacher salaries, to hire teachers, for school leader salaries, for classroom supplies and for other strategies to sustain outcomes for students at that school. A portion of the monies received may be used for expanding and replicating that school site as a quality school model. </t>
  </si>
  <si>
    <t>Calculations</t>
  </si>
  <si>
    <t>Equalization Base/Assistance (From CHAR55 tab)</t>
  </si>
  <si>
    <t>tab and the CHAR 64-1.</t>
  </si>
  <si>
    <t xml:space="preserve"> *Note: This amount does not reflect any reduction to the base support level for small school weight adjustment. </t>
  </si>
  <si>
    <t>See the</t>
  </si>
  <si>
    <t xml:space="preserve"> ADJUSTED EQUALIZATION ASSISTANCE BASE (Shown on CHAR 64-1)</t>
  </si>
  <si>
    <t>NORTH STAR CHARTER SCHOOL, INC.</t>
  </si>
  <si>
    <t>MARICOPA</t>
  </si>
  <si>
    <t>078945000</t>
  </si>
  <si>
    <t>www.northstaraz.com</t>
  </si>
  <si>
    <t>Kurt Huzar</t>
  </si>
  <si>
    <t>huzarcpa@aol.com</t>
  </si>
  <si>
    <t>CHARTER SCHOOL</t>
  </si>
  <si>
    <t>COUNTY</t>
  </si>
  <si>
    <t>STATE OF ARIZONA</t>
  </si>
  <si>
    <t>CHARTER SCHOOL ANNUAL BUDGET</t>
  </si>
  <si>
    <t>$</t>
  </si>
  <si>
    <t>Local</t>
  </si>
  <si>
    <t>1000</t>
  </si>
  <si>
    <t>State</t>
  </si>
  <si>
    <t>Intermediate</t>
  </si>
  <si>
    <t>2000</t>
  </si>
  <si>
    <t>Federal</t>
  </si>
  <si>
    <t>1000 Schoolwide Project</t>
  </si>
  <si>
    <t>EXPENSES</t>
  </si>
  <si>
    <t>Employee</t>
  </si>
  <si>
    <t>Purchased</t>
  </si>
  <si>
    <t>Salaries</t>
  </si>
  <si>
    <t>Benefits</t>
  </si>
  <si>
    <t>Services</t>
  </si>
  <si>
    <t>Supplies</t>
  </si>
  <si>
    <t>Other</t>
  </si>
  <si>
    <t>6300, 6400,</t>
  </si>
  <si>
    <t>100 Regular Education</t>
  </si>
  <si>
    <t>1000 Instruction</t>
  </si>
  <si>
    <t>Support Services</t>
  </si>
  <si>
    <t xml:space="preserve">   2300 General Administration </t>
  </si>
  <si>
    <t xml:space="preserve">   2400 School Administration </t>
  </si>
  <si>
    <t>3000 Operation of Noninstructional Services</t>
  </si>
  <si>
    <t>5000 Debt Service</t>
  </si>
  <si>
    <t>200 Special Education</t>
  </si>
  <si>
    <t>400 Pupil Transportation</t>
  </si>
  <si>
    <t>530 Dropout Prevention Programs</t>
  </si>
  <si>
    <t>1100-1399 FEDERAL PROJECTS</t>
  </si>
  <si>
    <t>1400-1499 STATE PROJECTS</t>
  </si>
  <si>
    <t>Gifted Education</t>
  </si>
  <si>
    <t>Remedial Education</t>
  </si>
  <si>
    <t>Career Education</t>
  </si>
  <si>
    <t>Teacher-Pupil</t>
  </si>
  <si>
    <t xml:space="preserve">1 to </t>
  </si>
  <si>
    <t>Staff-Pupil</t>
  </si>
  <si>
    <t>(Must be included on page 1)</t>
  </si>
  <si>
    <t>Audit Services</t>
  </si>
  <si>
    <t>Classroom Instruction</t>
  </si>
  <si>
    <t>TITLE</t>
  </si>
  <si>
    <t>1.</t>
  </si>
  <si>
    <t>2.</t>
  </si>
  <si>
    <t xml:space="preserve">    TOTAL</t>
  </si>
  <si>
    <t>1220  IDEA, Part B</t>
  </si>
  <si>
    <t>1230  Johnson-O'Malley</t>
  </si>
  <si>
    <t>1400  Vocational Education</t>
  </si>
  <si>
    <t>1425  Adult Basic Education</t>
  </si>
  <si>
    <t>1430  Chemical Abuse Prevention Programs</t>
  </si>
  <si>
    <t>1435  Academic Contests</t>
  </si>
  <si>
    <t>1460  Environmental Special Plate</t>
  </si>
  <si>
    <t xml:space="preserve">  COUNTY</t>
  </si>
  <si>
    <t>Year</t>
  </si>
  <si>
    <t>Budget Year</t>
  </si>
  <si>
    <t>SPECIAL EDUCATION PROGRAMS BY TYPE</t>
  </si>
  <si>
    <t>PROPOSED RATIOS FOR</t>
  </si>
  <si>
    <t>SPECIAL EDUCATION</t>
  </si>
  <si>
    <t>SELECTED EXPENSES BY TYPE</t>
  </si>
  <si>
    <t>CAPITAL ACQUISITIONS</t>
  </si>
  <si>
    <t>Totals</t>
  </si>
  <si>
    <t>Budget</t>
  </si>
  <si>
    <t>%</t>
  </si>
  <si>
    <t>Increase/</t>
  </si>
  <si>
    <t>Decrease</t>
  </si>
  <si>
    <t>1290  Medicaid Reimbursement</t>
  </si>
  <si>
    <t>1410  Early Childhood Block Grant</t>
  </si>
  <si>
    <t>3000</t>
  </si>
  <si>
    <t>4000</t>
  </si>
  <si>
    <t>1310-1399  Other Federal Projects</t>
  </si>
  <si>
    <t>1465  Charter School Stimulus Fund</t>
  </si>
  <si>
    <t>1470-1499  Other State Projects</t>
  </si>
  <si>
    <t>FEDERAL AND STATE PROJECTS</t>
  </si>
  <si>
    <t>1300  Charter School Implementation Proj. (Stimulus)</t>
  </si>
  <si>
    <t xml:space="preserve">   2900 Other Support Services</t>
  </si>
  <si>
    <t>610 School-Sponsored Cocurricular Activities</t>
  </si>
  <si>
    <t>630, 700, 800, 900 Other Programs</t>
  </si>
  <si>
    <t>620 School-Sponsored Athletics</t>
  </si>
  <si>
    <t>Version</t>
  </si>
  <si>
    <t>BY THE GOVERNING BOARD</t>
  </si>
  <si>
    <t>Proposed</t>
  </si>
  <si>
    <t>Adopted</t>
  </si>
  <si>
    <t>Revised</t>
  </si>
  <si>
    <t>Date</t>
  </si>
  <si>
    <t>SIGNED</t>
  </si>
  <si>
    <t>Subtotal (lines 16-26)</t>
  </si>
  <si>
    <t>Charter Name</t>
  </si>
  <si>
    <t>d.b.a. (as applicable)</t>
  </si>
  <si>
    <t>CTDS NUMBER</t>
  </si>
  <si>
    <t>Classroom Site Project 1013 - Other</t>
  </si>
  <si>
    <t>Classroom Site Project 1011 - Base Salary</t>
  </si>
  <si>
    <t>Expenses</t>
  </si>
  <si>
    <t>Classroom Site Project 1012 - Performance Pay</t>
  </si>
  <si>
    <t xml:space="preserve">Employee </t>
  </si>
  <si>
    <t>2100 Support Services - Students</t>
  </si>
  <si>
    <t>Program 100 Subtotal (lines 1-3)</t>
  </si>
  <si>
    <t>Program 200 Subtotal (lines 5-7)</t>
  </si>
  <si>
    <t>Other Programs (Specify)   ____________________</t>
  </si>
  <si>
    <t>Other Programs Subtotal (lines 9-11)</t>
  </si>
  <si>
    <t>Total Expenses (lines 4, 8, and 12)</t>
  </si>
  <si>
    <t>Program 100 Subtotal (lines 14-16)</t>
  </si>
  <si>
    <t>Program 200 Subtotal (lines 18-20)</t>
  </si>
  <si>
    <t>Other Programs Subtotal (lines 22-24)</t>
  </si>
  <si>
    <t>Total Expenses (lines 17, 21, and 25)</t>
  </si>
  <si>
    <t>3.</t>
  </si>
  <si>
    <t>4.</t>
  </si>
  <si>
    <t>5.</t>
  </si>
  <si>
    <t>6.</t>
  </si>
  <si>
    <t>7.</t>
  </si>
  <si>
    <t>8.</t>
  </si>
  <si>
    <t>9.</t>
  </si>
  <si>
    <t>10.</t>
  </si>
  <si>
    <t>11.</t>
  </si>
  <si>
    <t>12.</t>
  </si>
  <si>
    <t>13.</t>
  </si>
  <si>
    <t>14.</t>
  </si>
  <si>
    <t>15.</t>
  </si>
  <si>
    <t>16.</t>
  </si>
  <si>
    <t>17.</t>
  </si>
  <si>
    <t>18.</t>
  </si>
  <si>
    <t>19.</t>
  </si>
  <si>
    <t>20.</t>
  </si>
  <si>
    <t>21.</t>
  </si>
  <si>
    <t>22.</t>
  </si>
  <si>
    <t>23.</t>
  </si>
  <si>
    <t>24.</t>
  </si>
  <si>
    <t>25.</t>
  </si>
  <si>
    <t>26.</t>
  </si>
  <si>
    <t xml:space="preserve">   2100 Students </t>
  </si>
  <si>
    <t xml:space="preserve">530 Dropout Prevention Programs </t>
  </si>
  <si>
    <t>1240  Workforce Investment Act</t>
  </si>
  <si>
    <t>Teacher Compensation Increases</t>
  </si>
  <si>
    <t>Class Size Reduction</t>
  </si>
  <si>
    <t xml:space="preserve">Indicate amounts budgeted in Project 1020 for the following: </t>
  </si>
  <si>
    <t>Total Instructional Improvement (lines 1-4)</t>
  </si>
  <si>
    <t>Telephone:</t>
  </si>
  <si>
    <t>Email:</t>
  </si>
  <si>
    <t>Charter School Contact Employee:</t>
  </si>
  <si>
    <t>Personnel</t>
  </si>
  <si>
    <t xml:space="preserve">Employee  </t>
  </si>
  <si>
    <t xml:space="preserve">Number of </t>
  </si>
  <si>
    <t>Subtotal (lines 1-14)</t>
  </si>
  <si>
    <t>Compensatory Instruction Project - 1072</t>
  </si>
  <si>
    <t>265 Special Education-ELL Compensatory Instruction</t>
  </si>
  <si>
    <t>ELL Incremental Costs</t>
  </si>
  <si>
    <t>ELL Compensatory Instruction</t>
  </si>
  <si>
    <t xml:space="preserve">   2200 Instruction</t>
  </si>
  <si>
    <t xml:space="preserve">   2500 Central Services</t>
  </si>
  <si>
    <t xml:space="preserve">   2600 Operation &amp; Maintenance of Plant</t>
  </si>
  <si>
    <t>4000 Facilities Acquisition &amp; Construction</t>
  </si>
  <si>
    <t>300 Special Education Disability Title 8 PL 103-382 Add-On</t>
  </si>
  <si>
    <t>540 Joint Career &amp; Technical Ed. &amp; Vocational Ed. Center</t>
  </si>
  <si>
    <t>1450  Gifted Education</t>
  </si>
  <si>
    <t>0192  Site Improvements</t>
  </si>
  <si>
    <t>0194  Buildings and Building Improvements</t>
  </si>
  <si>
    <t>0196  Equipment</t>
  </si>
  <si>
    <t>0198  Construction in Progress</t>
  </si>
  <si>
    <t>Total Capital Acquisitions (lines 1-5)</t>
  </si>
  <si>
    <t>2200 Support Services - Instruction</t>
  </si>
  <si>
    <t xml:space="preserve">2100 Support Services - Students </t>
  </si>
  <si>
    <t xml:space="preserve">  2100 Students</t>
  </si>
  <si>
    <t xml:space="preserve">  2300 General Administration</t>
  </si>
  <si>
    <t xml:space="preserve">  2400 School Administration</t>
  </si>
  <si>
    <t xml:space="preserve">  2200 Instruction</t>
  </si>
  <si>
    <t xml:space="preserve">  2500 Central Services</t>
  </si>
  <si>
    <t xml:space="preserve">  2600 Operation &amp; Maintenance of Plant</t>
  </si>
  <si>
    <t>260 Special Education-ELL Incremental Costs</t>
  </si>
  <si>
    <t xml:space="preserve">  2900 Other Support Services</t>
  </si>
  <si>
    <t xml:space="preserve">  2700 Student Transportation</t>
  </si>
  <si>
    <t>0191  Land and Land Improvements</t>
  </si>
  <si>
    <t>430 Pupil Transportation-ELL Incremental Costs</t>
  </si>
  <si>
    <t>435 Pupil Transportation-ELL Compensatory Instruction</t>
  </si>
  <si>
    <t>INSTRUCTIONAL IMPROVEMENT PROJECT</t>
  </si>
  <si>
    <t>Program 260 Subtotal (lines 1-8)</t>
  </si>
  <si>
    <t>Total Expenses (lines 9 and 10)</t>
  </si>
  <si>
    <t>Program 265 Subtotal (lines 12-19)</t>
  </si>
  <si>
    <t>Total Expenses (lines 20 and 21)</t>
  </si>
  <si>
    <t>2100, 2200 Support Services - Students/Instruction</t>
  </si>
  <si>
    <t>1100-1130  ESEA Title I-Helping Disadvantaged Children</t>
  </si>
  <si>
    <t>1140-1150  ESEA Title II-Prof. Dev. And Technology</t>
  </si>
  <si>
    <t>1160  ESEA Title IV-21st Century Schools</t>
  </si>
  <si>
    <t>1170-1180  ESEA Title V-Promote Informed Parent Choice</t>
  </si>
  <si>
    <t>1190  ESEA Title III-Limited Eng. &amp; Immigrant Students</t>
  </si>
  <si>
    <t>1200  ESEA Title VII-Indian Education</t>
  </si>
  <si>
    <t>1210  ESEA Title VI-Flexibility and Accountability</t>
  </si>
  <si>
    <t>1250  AEA-Adult Education</t>
  </si>
  <si>
    <t>1260-1270  Vocational Education-Basic Grants</t>
  </si>
  <si>
    <t>1280  ESEA Title X-Homeless Education</t>
  </si>
  <si>
    <t>1420  Extended School Year-Pupils with Disabilities</t>
  </si>
  <si>
    <t>CTDS Number</t>
  </si>
  <si>
    <t>2100 Students</t>
  </si>
  <si>
    <t>2200 Instruction</t>
  </si>
  <si>
    <t>2300 General Administration</t>
  </si>
  <si>
    <t>2400 School Administration</t>
  </si>
  <si>
    <t>2500 Central Services</t>
  </si>
  <si>
    <t>2600 Operation &amp; Maintenance of Plant</t>
  </si>
  <si>
    <t>2900 Other Support Services</t>
  </si>
  <si>
    <t>Regular Education Subtotal</t>
  </si>
  <si>
    <t>Special Education Subtotal</t>
  </si>
  <si>
    <t>300 Special Ed.Disability Title 8 PL 103-382 Add-On</t>
  </si>
  <si>
    <t>540 Joint Career &amp; Tech. Ed. &amp; Voc. Ed. Center</t>
  </si>
  <si>
    <t>Total</t>
  </si>
  <si>
    <t>Classroom Site Projects</t>
  </si>
  <si>
    <t>Total Expenses</t>
  </si>
  <si>
    <t>SPECIAL EDUCATION PROGRAMS</t>
  </si>
  <si>
    <t>Schoolwide</t>
  </si>
  <si>
    <t>Federal Projects</t>
  </si>
  <si>
    <t>State Projects</t>
  </si>
  <si>
    <t>Capital Acquisitions</t>
  </si>
  <si>
    <t>EXPENSES BY PROJECT</t>
  </si>
  <si>
    <t>1000 SCHOOLWIDE PROJECT</t>
  </si>
  <si>
    <t>Instructional Improvement</t>
  </si>
  <si>
    <t>550 K-3 Reading</t>
  </si>
  <si>
    <t>Total Capital Acquisitions, if any, budgeted on lines 1-5 above for the K-3 Reading Program</t>
  </si>
  <si>
    <t xml:space="preserve">Enter the amount of State Equalization Assistance </t>
  </si>
  <si>
    <t>budgeted for Food Service, Function 3100:</t>
  </si>
  <si>
    <t>STATE EQUALIZATION ASSISTANCE BUDGETED</t>
  </si>
  <si>
    <t>FOR FOOD SERVICE EXPENSES</t>
  </si>
  <si>
    <t>Page</t>
  </si>
  <si>
    <t>Reference</t>
  </si>
  <si>
    <t>General</t>
  </si>
  <si>
    <t>Cover</t>
  </si>
  <si>
    <t>State Equalization Assistance Budgeted for Food Service Expenses</t>
  </si>
  <si>
    <t>Special Education Programs by Type</t>
  </si>
  <si>
    <t>Selected Expenses by Type</t>
  </si>
  <si>
    <t>See USFRCS page III-B-1 for guidance on the use of the Instructional Improvement Project (Project 1020).</t>
  </si>
  <si>
    <t xml:space="preserve">Instructional Improvement Project </t>
  </si>
  <si>
    <t>Compensatory Instruction Project</t>
  </si>
  <si>
    <t>Classroom Site Project</t>
  </si>
  <si>
    <t>Dropout Prevention Programs</t>
  </si>
  <si>
    <t>Instructional Improvement Programs</t>
  </si>
  <si>
    <t>Instructional Improvement Project, Lines 3 and 4</t>
  </si>
  <si>
    <t>Employee Benefits</t>
  </si>
  <si>
    <t>Program 550</t>
  </si>
  <si>
    <t>Instruction</t>
  </si>
  <si>
    <t>Instructional Improvement Project monies spent for Dropout Prevention programs and Instructional Improvement Programs must be spent for maintenance and operation purposes only.</t>
  </si>
  <si>
    <t xml:space="preserve">Enter the increase in the capital asset accounts (land and land improvements, site improvements, buildings and building improvements, equipment, and construction in progress) for assets to be acquired by purchase, lease purchase, or construction.
If the school budgets for capital acquisitions related to the K-3 Reading Program, the increase in the capital asset accounts for those acquisitions should be included by asset type on lines 1 through 5. The total of all capital acquisitions for the K-3 Reading Program should also be reported on line 7.
</t>
  </si>
  <si>
    <t>Estimated Revenues</t>
  </si>
  <si>
    <t>Federal and State Projects</t>
  </si>
  <si>
    <t>Budget Summary</t>
  </si>
  <si>
    <t xml:space="preserve">The information on the Budget Summary is self-populating and will be automatically brought forward from the other pages of the Budget. </t>
  </si>
  <si>
    <t>Prior</t>
  </si>
  <si>
    <t>Prior Year</t>
  </si>
  <si>
    <t>Program 200 Prior Year and Program 200 Budget Year column totals should equal line 27 on pg. 1.</t>
  </si>
  <si>
    <t>School Official Signature</t>
  </si>
  <si>
    <t xml:space="preserve">This cell will only accept entries of 9 digits. Do not include any slashes, dashes, etc. Enter the school's CTD number plus 3 zeros. </t>
  </si>
  <si>
    <t>School Official (Typed Name)</t>
  </si>
  <si>
    <t>David Tierney</t>
  </si>
  <si>
    <t>Total Federal Projects (lines 1-17)</t>
  </si>
  <si>
    <t>13__  Impact Aid</t>
  </si>
  <si>
    <t>6300, 6400, 6500</t>
  </si>
  <si>
    <t>Program 100 Subtotal (lines 27-29)</t>
  </si>
  <si>
    <t>Program 200 Subtotal (lines 31-33)</t>
  </si>
  <si>
    <t xml:space="preserve">Other Programs Subtotal (lines 36-37) </t>
  </si>
  <si>
    <t>Total Expenses (lines 30, 34, 35, and 38)</t>
  </si>
  <si>
    <t>Total Classroom Site Projects (lines 13, 26, and 39)</t>
  </si>
  <si>
    <r>
      <t xml:space="preserve">The version of the budget being submitted on the cover page is formatted with a drop down menu. Select the appropriate choice from the menu: Proposed, Adopted, or Revised (including the revision number). Only choices in the menu may be entered in the cell.
All information on the cover page must be completed/updated when the proposed, adopted, or revised budget is printed out for the Governing Board to sign. All information, excluding the Revenue information, must also be updated when the budget is revised.
</t>
    </r>
    <r>
      <rPr>
        <sz val="10"/>
        <color indexed="10"/>
        <rFont val="Arial"/>
        <family val="2"/>
      </rPr>
      <t xml:space="preserve">
</t>
    </r>
    <r>
      <rPr>
        <sz val="10"/>
        <rFont val="Arial"/>
        <family val="2"/>
      </rPr>
      <t xml:space="preserve">
</t>
    </r>
  </si>
  <si>
    <t>Classroom Site Projects (from page 3, line 40)</t>
  </si>
  <si>
    <t>Instructional Improvement Project (from page 2, line 5)</t>
  </si>
  <si>
    <t>Compensatory Instruction Project (from page 4, line 22)</t>
  </si>
  <si>
    <t>Special Education Programs by Type, Line 8</t>
  </si>
  <si>
    <t>Total (lines 1-7)</t>
  </si>
  <si>
    <t>Total All Disability Classifications</t>
  </si>
  <si>
    <t>Schools should budget total expenses for the disability classifications defined in A.R.S. §15-761.</t>
  </si>
  <si>
    <t>Special Education Programs by Type, Line 1</t>
  </si>
  <si>
    <t>Subtotal (lines 15 and 27-31)</t>
  </si>
  <si>
    <t xml:space="preserve">Program 200 </t>
  </si>
  <si>
    <t>Schools with known special education students and programs at the time of budget adoption should budget for expenses in program code 200.  Also, budgeted special education expenses in program code 200 should be allocated by program type on page 2.  Total budgeted expenses on line 27 should equal total Special Education Programs By Type on page 2, line 8.</t>
  </si>
  <si>
    <t>Federal and State Projects, Line 37</t>
  </si>
  <si>
    <t>The total of federal and state project expenses (project codes 1100 through 1499 from page 2) should be included on line 37. Schools should not include federal and state project expenses with other school wide project expenses on lines 1 through 36.</t>
  </si>
  <si>
    <t>TRUSTEE</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</si>
</sst>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0"/>
    <numFmt numFmtId="166" formatCode="0.0%"/>
    <numFmt numFmtId="167" formatCode="m/d"/>
    <numFmt numFmtId="168" formatCode="mmmm\ d\,\ yyyy"/>
    <numFmt numFmtId="169" formatCode="0_)"/>
    <numFmt numFmtId="170" formatCode="0.0%;[Red]\-0.0%"/>
    <numFmt numFmtId="171" formatCode="General;[Red]\-General"/>
    <numFmt numFmtId="172" formatCode="#,##0.000_);\(#,##0.000\)"/>
    <numFmt numFmtId="173" formatCode="#,##0.0_);\(#,##0.0\)"/>
    <numFmt numFmtId="174" formatCode="0_);\(0\)"/>
    <numFmt numFmtId="175" formatCode="0.00_);\(0.00\)"/>
    <numFmt numFmtId="176" formatCode="#,##0.000"/>
    <numFmt numFmtId="177" formatCode="&quot;$&quot;#,##0"/>
    <numFmt numFmtId="178" formatCode="#,##0.0000_);[Red]\(#,##0.0000\)"/>
    <numFmt numFmtId="179" formatCode="#,##0.000_);[Red]\(#,##0.000\)"/>
    <numFmt numFmtId="180" formatCode="0.0000"/>
    <numFmt numFmtId="181" formatCode="#,##0.0"/>
    <numFmt numFmtId="182" formatCode="#,##0.0000_);\(#,##0.0000\)"/>
    <numFmt numFmtId="183" formatCode="#,##0.0000"/>
    <numFmt numFmtId="184" formatCode="[$-409]h:mm:ss\ AM/PM"/>
    <numFmt numFmtId="185" formatCode="0.00_);[Red]\(0.00\)"/>
    <numFmt numFmtId="186" formatCode="0_);[Red]\(0\)"/>
    <numFmt numFmtId="187" formatCode="[$-409]mmmm\ d\,\ yyyy;@"/>
    <numFmt numFmtId="188" formatCode="&quot;Yes&quot;;&quot;Yes&quot;;&quot;No&quot;"/>
    <numFmt numFmtId="189" formatCode="&quot;True&quot;;&quot;True&quot;;&quot;False&quot;"/>
    <numFmt numFmtId="190" formatCode="&quot;On&quot;;&quot;On&quot;;&quot;Off&quot;"/>
    <numFmt numFmtId="191" formatCode="[$€-2]\ #,##0.00_);[Red]\([$€-2]\ #,##0.00\)"/>
    <numFmt numFmtId="192" formatCode="d\-mmm\-yyyy"/>
    <numFmt numFmtId="193" formatCode="#,##0.0_);[Red]\(#,##0.0\)"/>
    <numFmt numFmtId="194" formatCode="[&lt;=9999999]###\-####;\(###\)\ ###\-####"/>
    <numFmt numFmtId="195" formatCode="[$-409]dddd\,\ mmmm\ d\,\ yyyy"/>
    <numFmt numFmtId="196" formatCode="000\-000\-0000"/>
    <numFmt numFmtId="197" formatCode="###\-###\-####"/>
    <numFmt numFmtId="198" formatCode="0.000"/>
    <numFmt numFmtId="199" formatCode="0.0000%"/>
    <numFmt numFmtId="200" formatCode="0.000_);\(0.000\)"/>
    <numFmt numFmtId="201" formatCode="0.000%"/>
    <numFmt numFmtId="202" formatCode="_(&quot;$&quot;* #,##0.000_);_(&quot;$&quot;* \(#,##0.000\);_(&quot;$&quot;* &quot;-&quot;???_);_(@_)"/>
    <numFmt numFmtId="203" formatCode="&quot;$&quot;#,##0.000_);\(&quot;$&quot;#,##0.000\)"/>
  </numFmts>
  <fonts count="68">
    <font>
      <sz val="10"/>
      <name val="Arial"/>
      <family val="0"/>
    </font>
    <font>
      <b/>
      <sz val="10"/>
      <name val="Arial"/>
      <family val="0"/>
    </font>
    <font>
      <i/>
      <sz val="10"/>
      <name val="Arial"/>
      <family val="0"/>
    </font>
    <font>
      <b/>
      <i/>
      <sz val="10"/>
      <name val="Arial"/>
      <family val="0"/>
    </font>
    <font>
      <b/>
      <sz val="14"/>
      <name val="Arial"/>
      <family val="2"/>
    </font>
    <font>
      <u val="single"/>
      <sz val="9"/>
      <color indexed="36"/>
      <name val="Arial"/>
      <family val="2"/>
    </font>
    <font>
      <u val="single"/>
      <sz val="9"/>
      <color indexed="12"/>
      <name val="Arial"/>
      <family val="2"/>
    </font>
    <font>
      <sz val="10"/>
      <name val="Times New Roman"/>
      <family val="1"/>
    </font>
    <font>
      <sz val="12"/>
      <name val="Arial"/>
      <family val="2"/>
    </font>
    <font>
      <b/>
      <sz val="14"/>
      <name val="Times New Roman"/>
      <family val="1"/>
    </font>
    <font>
      <sz val="10"/>
      <color indexed="10"/>
      <name val="Arial"/>
      <family val="2"/>
    </font>
    <font>
      <sz val="10"/>
      <color indexed="12"/>
      <name val="Arial"/>
      <family val="2"/>
    </font>
    <font>
      <b/>
      <sz val="10"/>
      <color indexed="12"/>
      <name val="Arial"/>
      <family val="2"/>
    </font>
    <font>
      <sz val="14"/>
      <name val="Arial"/>
      <family val="2"/>
    </font>
    <font>
      <sz val="10"/>
      <name val="Calibri"/>
      <family val="2"/>
    </font>
    <font>
      <u val="single"/>
      <sz val="10"/>
      <color indexed="12"/>
      <name val="Arial"/>
      <family val="2"/>
    </font>
    <font>
      <sz val="11"/>
      <name val="Calibri"/>
      <family val="2"/>
    </font>
    <font>
      <sz val="8"/>
      <name val="Arial"/>
      <family val="2"/>
    </font>
    <font>
      <u val="single"/>
      <sz val="9"/>
      <name val="Arial"/>
      <family val="2"/>
    </font>
    <font>
      <sz val="9"/>
      <name val="Times New Roman"/>
      <family val="1"/>
    </font>
    <font>
      <sz val="9"/>
      <name val="Arial"/>
      <family val="2"/>
    </font>
    <font>
      <b/>
      <sz val="12"/>
      <name val="Arial"/>
      <family val="2"/>
    </font>
    <font>
      <sz val="10"/>
      <name val="Arial MT"/>
      <family val="0"/>
    </font>
    <font>
      <sz val="10"/>
      <color indexed="8"/>
      <name val="Arial"/>
      <family val="2"/>
    </font>
    <font>
      <b/>
      <sz val="10"/>
      <color indexed="8"/>
      <name val="Arial"/>
      <family val="2"/>
    </font>
    <font>
      <sz val="9"/>
      <color indexed="12"/>
      <name val="Arial"/>
      <family val="2"/>
    </font>
    <font>
      <b/>
      <sz val="9"/>
      <color indexed="12"/>
      <name val="Arial"/>
      <family val="2"/>
    </font>
    <font>
      <sz val="10"/>
      <color indexed="30"/>
      <name val="Arial"/>
      <family val="2"/>
    </font>
    <font>
      <b/>
      <sz val="10"/>
      <color indexed="10"/>
      <name val="Arial"/>
      <family val="2"/>
    </font>
    <font>
      <sz val="10"/>
      <color indexed="9"/>
      <name val="Arial"/>
      <family val="2"/>
    </font>
    <font>
      <b/>
      <sz val="9"/>
      <color indexed="10"/>
      <name val="Arial"/>
      <family val="2"/>
    </font>
    <font>
      <b/>
      <sz val="9"/>
      <color indexed="17"/>
      <name val="Arial"/>
      <family val="2"/>
    </font>
    <font>
      <b/>
      <sz val="10"/>
      <color indexed="9"/>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9"/>
        <bgColor indexed="64"/>
      </patternFill>
    </fill>
    <fill>
      <patternFill patternType="solid">
        <fgColor rgb="FFFFFFCC"/>
        <bgColor indexed="64"/>
      </patternFill>
    </fill>
    <fill>
      <patternFill patternType="solid">
        <fgColor indexed="55"/>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medium"/>
    </border>
    <border>
      <left style="thin"/>
      <right style="thin"/>
      <top style="thin"/>
      <bottom style="medium"/>
    </border>
    <border>
      <left style="thin"/>
      <right style="thin"/>
      <top style="medium"/>
      <bottom style="double"/>
    </border>
    <border>
      <left style="thin"/>
      <right style="thin"/>
      <top>
        <color indexed="63"/>
      </top>
      <bottom style="double"/>
    </border>
    <border>
      <left style="thin"/>
      <right style="thin"/>
      <top style="double"/>
      <bottom>
        <color indexed="63"/>
      </bottom>
    </border>
    <border>
      <left style="thin"/>
      <right>
        <color indexed="63"/>
      </right>
      <top>
        <color indexed="63"/>
      </top>
      <bottom style="double"/>
    </border>
    <border>
      <left>
        <color indexed="63"/>
      </left>
      <right>
        <color indexed="63"/>
      </right>
      <top style="double"/>
      <bottom>
        <color indexed="63"/>
      </bottom>
    </border>
    <border>
      <left style="thin"/>
      <right>
        <color indexed="63"/>
      </right>
      <top style="double"/>
      <bottom>
        <color indexed="63"/>
      </bottom>
    </border>
    <border>
      <left style="thin"/>
      <right>
        <color indexed="63"/>
      </right>
      <top style="thin"/>
      <bottom style="double"/>
    </border>
    <border>
      <left>
        <color indexed="63"/>
      </left>
      <right>
        <color indexed="63"/>
      </right>
      <top>
        <color indexed="63"/>
      </top>
      <bottom style="double"/>
    </border>
    <border>
      <left>
        <color indexed="63"/>
      </left>
      <right>
        <color indexed="63"/>
      </right>
      <top style="thin"/>
      <bottom style="double"/>
    </border>
    <border>
      <left style="medium"/>
      <right style="medium"/>
      <top style="thin"/>
      <bottom style="thin"/>
    </border>
    <border>
      <left style="medium"/>
      <right style="medium"/>
      <top>
        <color indexed="63"/>
      </top>
      <bottom style="medium"/>
    </border>
    <border>
      <left style="medium"/>
      <right style="medium"/>
      <top style="medium"/>
      <bottom style="medium"/>
    </border>
    <border>
      <left>
        <color indexed="63"/>
      </left>
      <right style="thin"/>
      <top>
        <color indexed="63"/>
      </top>
      <bottom style="double"/>
    </border>
    <border>
      <left>
        <color indexed="63"/>
      </left>
      <right style="thin"/>
      <top style="thin"/>
      <bottom style="double"/>
    </border>
    <border>
      <left>
        <color indexed="63"/>
      </left>
      <right style="thin"/>
      <top style="double"/>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8" fillId="0" borderId="0" applyFont="0" applyBorder="0">
      <alignment/>
      <protection/>
    </xf>
    <xf numFmtId="0" fontId="8" fillId="0" borderId="0" applyFont="0" applyBorder="0">
      <alignment/>
      <protection/>
    </xf>
    <xf numFmtId="0" fontId="22" fillId="32" borderId="0">
      <alignment/>
      <protection/>
    </xf>
    <xf numFmtId="0" fontId="0" fillId="33"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80">
    <xf numFmtId="0" fontId="0" fillId="0" borderId="0" xfId="0" applyAlignment="1">
      <alignment/>
    </xf>
    <xf numFmtId="0" fontId="0" fillId="0" borderId="10" xfId="0" applyFont="1" applyBorder="1" applyAlignment="1">
      <alignment/>
    </xf>
    <xf numFmtId="164" fontId="0" fillId="0" borderId="0" xfId="0" applyNumberFormat="1" applyFont="1" applyAlignment="1">
      <alignment horizontal="left"/>
    </xf>
    <xf numFmtId="164" fontId="0" fillId="0" borderId="0" xfId="0" applyNumberFormat="1" applyFont="1" applyAlignment="1">
      <alignment/>
    </xf>
    <xf numFmtId="0" fontId="1" fillId="0" borderId="11" xfId="0" applyFont="1" applyBorder="1" applyAlignment="1">
      <alignment/>
    </xf>
    <xf numFmtId="164" fontId="0" fillId="0" borderId="12" xfId="0" applyNumberFormat="1" applyFont="1" applyBorder="1" applyAlignment="1">
      <alignment/>
    </xf>
    <xf numFmtId="38" fontId="0" fillId="0" borderId="13" xfId="0" applyNumberFormat="1" applyFont="1" applyBorder="1" applyAlignment="1">
      <alignment/>
    </xf>
    <xf numFmtId="38" fontId="0" fillId="0" borderId="0" xfId="0" applyNumberFormat="1" applyFont="1" applyAlignment="1">
      <alignment/>
    </xf>
    <xf numFmtId="37" fontId="0" fillId="0" borderId="13" xfId="0" applyNumberFormat="1" applyFont="1" applyBorder="1" applyAlignment="1">
      <alignment/>
    </xf>
    <xf numFmtId="166" fontId="0" fillId="0" borderId="0" xfId="0" applyNumberFormat="1" applyFont="1" applyAlignment="1">
      <alignment/>
    </xf>
    <xf numFmtId="166" fontId="0" fillId="0" borderId="13" xfId="0" applyNumberFormat="1" applyFont="1" applyBorder="1" applyAlignment="1">
      <alignment/>
    </xf>
    <xf numFmtId="3" fontId="0" fillId="0" borderId="13" xfId="0" applyNumberFormat="1"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justify" wrapText="1"/>
    </xf>
    <xf numFmtId="38" fontId="0" fillId="0" borderId="14" xfId="0" applyNumberFormat="1" applyFont="1" applyBorder="1" applyAlignment="1">
      <alignment/>
    </xf>
    <xf numFmtId="164" fontId="0" fillId="0" borderId="15" xfId="0" applyNumberFormat="1" applyFont="1" applyBorder="1" applyAlignment="1">
      <alignment/>
    </xf>
    <xf numFmtId="164" fontId="0" fillId="0" borderId="16" xfId="0" applyNumberFormat="1" applyFont="1" applyBorder="1" applyAlignment="1">
      <alignment/>
    </xf>
    <xf numFmtId="164" fontId="0" fillId="0" borderId="17" xfId="0" applyNumberFormat="1" applyFont="1" applyBorder="1" applyAlignment="1">
      <alignment/>
    </xf>
    <xf numFmtId="164" fontId="0" fillId="0" borderId="18" xfId="0" applyNumberFormat="1" applyFont="1" applyBorder="1" applyAlignment="1">
      <alignment/>
    </xf>
    <xf numFmtId="38" fontId="0" fillId="0" borderId="13" xfId="0" applyNumberFormat="1" applyFont="1" applyBorder="1" applyAlignment="1" applyProtection="1">
      <alignment/>
      <protection locked="0"/>
    </xf>
    <xf numFmtId="38" fontId="0" fillId="0" borderId="14" xfId="0" applyNumberFormat="1" applyFont="1" applyBorder="1" applyAlignment="1" applyProtection="1">
      <alignment/>
      <protection locked="0"/>
    </xf>
    <xf numFmtId="38" fontId="0" fillId="0" borderId="13" xfId="0" applyNumberFormat="1" applyBorder="1" applyAlignment="1" applyProtection="1">
      <alignment/>
      <protection locked="0"/>
    </xf>
    <xf numFmtId="38" fontId="0" fillId="0" borderId="14" xfId="0" applyNumberFormat="1" applyBorder="1" applyAlignment="1" applyProtection="1">
      <alignment/>
      <protection locked="0"/>
    </xf>
    <xf numFmtId="38" fontId="0" fillId="0" borderId="19" xfId="0" applyNumberFormat="1" applyFont="1" applyBorder="1" applyAlignment="1">
      <alignment horizontal="right"/>
    </xf>
    <xf numFmtId="38" fontId="0" fillId="0" borderId="14" xfId="0" applyNumberFormat="1" applyFont="1" applyBorder="1" applyAlignment="1">
      <alignment horizontal="right"/>
    </xf>
    <xf numFmtId="0" fontId="0" fillId="0" borderId="12" xfId="0" applyFont="1" applyBorder="1" applyAlignment="1">
      <alignment/>
    </xf>
    <xf numFmtId="164" fontId="0" fillId="0" borderId="0" xfId="0" applyNumberFormat="1" applyAlignment="1">
      <alignment horizontal="left"/>
    </xf>
    <xf numFmtId="38" fontId="0" fillId="0" borderId="13" xfId="0" applyNumberFormat="1" applyFont="1" applyBorder="1" applyAlignment="1" applyProtection="1">
      <alignment horizontal="right"/>
      <protection locked="0"/>
    </xf>
    <xf numFmtId="0" fontId="0" fillId="0" borderId="0" xfId="0" applyAlignment="1">
      <alignment horizontal="centerContinuous"/>
    </xf>
    <xf numFmtId="0" fontId="0" fillId="0" borderId="0" xfId="0" applyAlignment="1">
      <alignment horizontal="center"/>
    </xf>
    <xf numFmtId="0" fontId="0" fillId="0" borderId="12" xfId="0" applyFont="1" applyBorder="1" applyAlignment="1">
      <alignment horizontal="center"/>
    </xf>
    <xf numFmtId="0" fontId="1" fillId="0" borderId="0" xfId="0" applyFont="1" applyAlignment="1">
      <alignment horizontal="center"/>
    </xf>
    <xf numFmtId="0" fontId="0" fillId="0" borderId="15" xfId="0" applyBorder="1" applyAlignment="1">
      <alignment/>
    </xf>
    <xf numFmtId="0" fontId="0" fillId="0" borderId="15" xfId="0" applyBorder="1" applyAlignment="1">
      <alignment horizontal="centerContinuous"/>
    </xf>
    <xf numFmtId="49" fontId="0" fillId="0" borderId="0" xfId="0" applyNumberFormat="1" applyAlignment="1">
      <alignment horizontal="right"/>
    </xf>
    <xf numFmtId="0" fontId="0" fillId="0" borderId="0" xfId="0" applyAlignment="1">
      <alignment horizontal="right"/>
    </xf>
    <xf numFmtId="3" fontId="0" fillId="0" borderId="12" xfId="0" applyNumberFormat="1" applyBorder="1" applyAlignment="1" applyProtection="1">
      <alignment/>
      <protection locked="0"/>
    </xf>
    <xf numFmtId="49" fontId="0" fillId="0" borderId="0" xfId="0" applyNumberFormat="1" applyAlignment="1">
      <alignment horizontal="center"/>
    </xf>
    <xf numFmtId="0" fontId="0" fillId="0" borderId="0" xfId="0" applyFont="1" applyAlignment="1">
      <alignment horizontal="right"/>
    </xf>
    <xf numFmtId="3" fontId="0" fillId="0" borderId="12" xfId="0" applyNumberFormat="1" applyFont="1" applyBorder="1" applyAlignment="1" applyProtection="1">
      <alignment/>
      <protection locked="0"/>
    </xf>
    <xf numFmtId="3" fontId="0" fillId="0" borderId="12" xfId="0" applyNumberFormat="1" applyFont="1" applyBorder="1" applyAlignment="1">
      <alignment/>
    </xf>
    <xf numFmtId="0" fontId="0" fillId="0" borderId="15" xfId="0" applyBorder="1" applyAlignment="1">
      <alignment horizontal="center"/>
    </xf>
    <xf numFmtId="0" fontId="0" fillId="0" borderId="0" xfId="0" applyAlignment="1">
      <alignment horizontal="left"/>
    </xf>
    <xf numFmtId="14" fontId="0" fillId="0" borderId="0" xfId="0" applyNumberFormat="1" applyAlignment="1">
      <alignment horizontal="center"/>
    </xf>
    <xf numFmtId="49" fontId="0" fillId="0" borderId="0" xfId="0" applyNumberFormat="1" applyAlignment="1">
      <alignment horizontal="left"/>
    </xf>
    <xf numFmtId="0" fontId="0" fillId="0" borderId="0" xfId="0" applyAlignment="1">
      <alignment horizontal="justify" vertical="top" wrapText="1"/>
    </xf>
    <xf numFmtId="0" fontId="0" fillId="0" borderId="12" xfId="0" applyFont="1" applyBorder="1" applyAlignment="1">
      <alignment horizontal="left"/>
    </xf>
    <xf numFmtId="0" fontId="0" fillId="0" borderId="0" xfId="0" applyFont="1" applyAlignment="1">
      <alignment horizontal="centerContinuous"/>
    </xf>
    <xf numFmtId="0" fontId="1" fillId="0" borderId="10" xfId="0" applyFont="1" applyBorder="1" applyAlignment="1">
      <alignment/>
    </xf>
    <xf numFmtId="0" fontId="0" fillId="0" borderId="20" xfId="0" applyFont="1" applyBorder="1" applyAlignment="1">
      <alignment/>
    </xf>
    <xf numFmtId="0" fontId="0" fillId="0" borderId="18" xfId="0" applyFont="1" applyBorder="1" applyAlignment="1">
      <alignment/>
    </xf>
    <xf numFmtId="0" fontId="0" fillId="0" borderId="10" xfId="0" applyFont="1" applyBorder="1" applyAlignment="1">
      <alignment horizontal="centerContinuous"/>
    </xf>
    <xf numFmtId="0" fontId="0" fillId="0" borderId="18" xfId="0" applyFont="1" applyBorder="1" applyAlignment="1">
      <alignment horizontal="centerContinuous"/>
    </xf>
    <xf numFmtId="0" fontId="0" fillId="0" borderId="21" xfId="0" applyFont="1" applyBorder="1" applyAlignment="1">
      <alignment/>
    </xf>
    <xf numFmtId="0" fontId="0" fillId="0" borderId="21" xfId="0" applyFont="1" applyBorder="1" applyAlignment="1">
      <alignment horizontal="center"/>
    </xf>
    <xf numFmtId="0" fontId="0" fillId="0" borderId="19" xfId="0" applyFont="1" applyBorder="1" applyAlignment="1">
      <alignment horizontal="centerContinuous"/>
    </xf>
    <xf numFmtId="0" fontId="0" fillId="0" borderId="16" xfId="0" applyFont="1" applyBorder="1" applyAlignment="1">
      <alignment horizontal="centerContinuous"/>
    </xf>
    <xf numFmtId="0" fontId="0" fillId="0" borderId="15" xfId="0" applyFont="1" applyBorder="1" applyAlignment="1">
      <alignment/>
    </xf>
    <xf numFmtId="0" fontId="0" fillId="0" borderId="22" xfId="0" applyFont="1" applyBorder="1" applyAlignment="1">
      <alignment horizontal="centerContinuous"/>
    </xf>
    <xf numFmtId="0" fontId="0" fillId="0" borderId="17" xfId="0" applyFont="1" applyBorder="1" applyAlignment="1">
      <alignment horizontal="centerContinuous"/>
    </xf>
    <xf numFmtId="0" fontId="0" fillId="0" borderId="23" xfId="0" applyFont="1" applyBorder="1" applyAlignment="1">
      <alignment horizontal="center"/>
    </xf>
    <xf numFmtId="0" fontId="0" fillId="0" borderId="23" xfId="0" applyFont="1" applyBorder="1" applyAlignment="1">
      <alignment/>
    </xf>
    <xf numFmtId="0" fontId="1" fillId="0" borderId="22" xfId="0" applyFont="1" applyBorder="1" applyAlignment="1">
      <alignment/>
    </xf>
    <xf numFmtId="0" fontId="0" fillId="0" borderId="13" xfId="0" applyFont="1" applyBorder="1" applyAlignment="1">
      <alignment horizontal="center"/>
    </xf>
    <xf numFmtId="0" fontId="0" fillId="0" borderId="11" xfId="0" applyFont="1" applyBorder="1" applyAlignment="1">
      <alignment/>
    </xf>
    <xf numFmtId="185" fontId="0" fillId="0" borderId="13" xfId="0" applyNumberFormat="1" applyFont="1" applyBorder="1" applyAlignment="1">
      <alignment/>
    </xf>
    <xf numFmtId="185" fontId="0" fillId="0" borderId="13" xfId="0" applyNumberFormat="1" applyFont="1" applyBorder="1" applyAlignment="1" applyProtection="1">
      <alignment horizontal="right"/>
      <protection locked="0"/>
    </xf>
    <xf numFmtId="164" fontId="0" fillId="0" borderId="11" xfId="0" applyNumberFormat="1" applyFont="1" applyBorder="1" applyAlignment="1">
      <alignment horizontal="left"/>
    </xf>
    <xf numFmtId="185" fontId="0" fillId="0" borderId="14" xfId="0" applyNumberFormat="1" applyFont="1" applyBorder="1" applyAlignment="1" applyProtection="1">
      <alignment/>
      <protection locked="0"/>
    </xf>
    <xf numFmtId="185" fontId="0" fillId="0" borderId="13" xfId="0" applyNumberFormat="1" applyFont="1" applyBorder="1" applyAlignment="1" applyProtection="1">
      <alignment/>
      <protection locked="0"/>
    </xf>
    <xf numFmtId="0" fontId="0" fillId="0" borderId="22" xfId="0" applyFont="1" applyBorder="1" applyAlignment="1">
      <alignment/>
    </xf>
    <xf numFmtId="0" fontId="0" fillId="0" borderId="24" xfId="0" applyFont="1" applyBorder="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17" xfId="0" applyFont="1" applyBorder="1" applyAlignment="1">
      <alignment/>
    </xf>
    <xf numFmtId="0" fontId="0" fillId="0" borderId="22" xfId="0" applyFont="1" applyBorder="1" applyAlignment="1">
      <alignment horizontal="center"/>
    </xf>
    <xf numFmtId="0" fontId="0" fillId="0" borderId="0" xfId="0" applyFont="1" applyAlignment="1">
      <alignment horizontal="center"/>
    </xf>
    <xf numFmtId="0" fontId="1" fillId="0" borderId="10" xfId="0" applyFont="1" applyBorder="1" applyAlignment="1">
      <alignment horizontal="left"/>
    </xf>
    <xf numFmtId="0" fontId="0" fillId="0" borderId="20" xfId="0" applyFont="1" applyBorder="1" applyAlignment="1">
      <alignment horizontal="centerContinuous"/>
    </xf>
    <xf numFmtId="0" fontId="0" fillId="0" borderId="21" xfId="0" applyFont="1" applyBorder="1" applyAlignment="1">
      <alignment horizontal="centerContinuous"/>
    </xf>
    <xf numFmtId="0" fontId="7" fillId="0" borderId="0" xfId="0" applyFont="1" applyAlignment="1">
      <alignment horizontal="justify" wrapText="1"/>
    </xf>
    <xf numFmtId="49" fontId="0" fillId="0" borderId="0" xfId="0" applyNumberFormat="1" applyFont="1" applyAlignment="1">
      <alignment horizontal="justify" wrapText="1"/>
    </xf>
    <xf numFmtId="49" fontId="0" fillId="0" borderId="0" xfId="0" applyNumberFormat="1" applyFont="1" applyAlignment="1">
      <alignment/>
    </xf>
    <xf numFmtId="0" fontId="0" fillId="0" borderId="0" xfId="0" applyFont="1" applyAlignment="1" applyProtection="1">
      <alignment/>
      <protection locked="0"/>
    </xf>
    <xf numFmtId="0" fontId="0" fillId="0" borderId="0" xfId="0" applyFont="1" applyAlignment="1">
      <alignment/>
    </xf>
    <xf numFmtId="0" fontId="1" fillId="0" borderId="0" xfId="0" applyFont="1" applyAlignment="1">
      <alignment horizontal="centerContinuous"/>
    </xf>
    <xf numFmtId="164" fontId="0" fillId="0" borderId="0" xfId="0" applyNumberFormat="1" applyAlignment="1">
      <alignment horizontal="right"/>
    </xf>
    <xf numFmtId="0" fontId="1" fillId="0" borderId="0" xfId="0" applyFont="1" applyAlignment="1">
      <alignment/>
    </xf>
    <xf numFmtId="165" fontId="0" fillId="0" borderId="12" xfId="0" applyNumberFormat="1" applyBorder="1" applyAlignment="1" applyProtection="1">
      <alignment/>
      <protection locked="0"/>
    </xf>
    <xf numFmtId="165" fontId="0" fillId="0" borderId="0" xfId="0" applyNumberFormat="1" applyAlignment="1">
      <alignment/>
    </xf>
    <xf numFmtId="38" fontId="0" fillId="0" borderId="25" xfId="0" applyNumberFormat="1" applyBorder="1" applyAlignment="1" applyProtection="1">
      <alignment/>
      <protection locked="0"/>
    </xf>
    <xf numFmtId="0" fontId="0" fillId="0" borderId="12" xfId="0" applyFont="1" applyBorder="1" applyAlignment="1">
      <alignment horizontal="centerContinuous"/>
    </xf>
    <xf numFmtId="0" fontId="0" fillId="0" borderId="11" xfId="0" applyFont="1" applyBorder="1" applyAlignment="1">
      <alignment horizontal="left"/>
    </xf>
    <xf numFmtId="38" fontId="0" fillId="0" borderId="17" xfId="0" applyNumberFormat="1" applyFont="1" applyBorder="1" applyAlignment="1" applyProtection="1">
      <alignment/>
      <protection locked="0"/>
    </xf>
    <xf numFmtId="0" fontId="0" fillId="0" borderId="20" xfId="0" applyFont="1" applyBorder="1" applyAlignment="1" applyProtection="1">
      <alignment/>
      <protection locked="0"/>
    </xf>
    <xf numFmtId="38" fontId="0" fillId="34" borderId="13" xfId="0" applyNumberFormat="1" applyFont="1" applyFill="1" applyBorder="1" applyAlignment="1">
      <alignment/>
    </xf>
    <xf numFmtId="38" fontId="0" fillId="0" borderId="21" xfId="0" applyNumberFormat="1" applyFont="1" applyBorder="1" applyAlignment="1">
      <alignment/>
    </xf>
    <xf numFmtId="166" fontId="0" fillId="0" borderId="21" xfId="0" applyNumberFormat="1" applyFont="1" applyBorder="1" applyAlignment="1">
      <alignment/>
    </xf>
    <xf numFmtId="38" fontId="0" fillId="0" borderId="10" xfId="0" applyNumberFormat="1" applyFont="1" applyBorder="1" applyAlignment="1">
      <alignment/>
    </xf>
    <xf numFmtId="166" fontId="0" fillId="0" borderId="14" xfId="0" applyNumberFormat="1" applyFont="1" applyBorder="1" applyAlignment="1">
      <alignment/>
    </xf>
    <xf numFmtId="185" fontId="0" fillId="0" borderId="14" xfId="0" applyNumberFormat="1" applyFont="1" applyBorder="1" applyAlignment="1" applyProtection="1">
      <alignment horizontal="right"/>
      <protection locked="0"/>
    </xf>
    <xf numFmtId="38" fontId="0" fillId="0" borderId="14" xfId="0" applyNumberFormat="1" applyFont="1" applyBorder="1" applyAlignment="1" applyProtection="1">
      <alignment horizontal="right"/>
      <protection locked="0"/>
    </xf>
    <xf numFmtId="166" fontId="0" fillId="0" borderId="14" xfId="62" applyNumberFormat="1" applyFont="1" applyBorder="1" applyAlignment="1">
      <alignment horizontal="right"/>
    </xf>
    <xf numFmtId="0" fontId="0" fillId="0" borderId="12" xfId="0" applyFont="1" applyBorder="1" applyAlignment="1">
      <alignment/>
    </xf>
    <xf numFmtId="0" fontId="0" fillId="0" borderId="19" xfId="0" applyFont="1" applyBorder="1" applyAlignment="1">
      <alignment/>
    </xf>
    <xf numFmtId="0" fontId="0" fillId="0" borderId="14" xfId="0" applyFont="1" applyBorder="1" applyAlignment="1">
      <alignment horizontal="center" wrapText="1"/>
    </xf>
    <xf numFmtId="0" fontId="0" fillId="0" borderId="0" xfId="0" applyFont="1" applyAlignment="1">
      <alignment horizontal="left"/>
    </xf>
    <xf numFmtId="38" fontId="0" fillId="0" borderId="22" xfId="0" applyNumberFormat="1" applyFont="1" applyBorder="1" applyAlignment="1" applyProtection="1">
      <alignment horizontal="right"/>
      <protection locked="0"/>
    </xf>
    <xf numFmtId="38" fontId="0" fillId="0" borderId="19" xfId="0" applyNumberFormat="1" applyFont="1" applyBorder="1" applyAlignment="1" applyProtection="1">
      <alignment horizontal="right"/>
      <protection locked="0"/>
    </xf>
    <xf numFmtId="38" fontId="0" fillId="0" borderId="0" xfId="0" applyNumberFormat="1" applyAlignment="1">
      <alignment/>
    </xf>
    <xf numFmtId="38" fontId="0" fillId="0" borderId="13" xfId="0" applyNumberFormat="1" applyBorder="1" applyAlignment="1" applyProtection="1">
      <alignment vertical="center"/>
      <protection locked="0"/>
    </xf>
    <xf numFmtId="38" fontId="0" fillId="0" borderId="14" xfId="0" applyNumberFormat="1" applyBorder="1" applyAlignment="1" applyProtection="1">
      <alignment vertical="center"/>
      <protection locked="0"/>
    </xf>
    <xf numFmtId="38" fontId="0" fillId="0" borderId="26" xfId="0" applyNumberFormat="1" applyBorder="1" applyAlignment="1" applyProtection="1">
      <alignment vertical="center"/>
      <protection locked="0"/>
    </xf>
    <xf numFmtId="38" fontId="0" fillId="0" borderId="27" xfId="0" applyNumberFormat="1" applyBorder="1" applyAlignment="1">
      <alignment vertical="center"/>
    </xf>
    <xf numFmtId="38" fontId="0" fillId="0" borderId="28" xfId="0" applyNumberFormat="1" applyBorder="1" applyAlignment="1">
      <alignment vertical="center"/>
    </xf>
    <xf numFmtId="164" fontId="0" fillId="0" borderId="0" xfId="0" applyNumberFormat="1" applyAlignment="1">
      <alignment horizontal="right" vertical="center"/>
    </xf>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164" fontId="0" fillId="0" borderId="0" xfId="0" applyNumberFormat="1" applyAlignment="1">
      <alignment vertical="center"/>
    </xf>
    <xf numFmtId="0" fontId="0" fillId="0" borderId="0" xfId="0" applyFont="1" applyAlignment="1">
      <alignment horizontal="left" vertical="center"/>
    </xf>
    <xf numFmtId="0" fontId="0" fillId="0" borderId="0" xfId="0" applyFont="1" applyAlignment="1">
      <alignment vertical="center"/>
    </xf>
    <xf numFmtId="38" fontId="0" fillId="0" borderId="0" xfId="0" applyNumberFormat="1" applyAlignment="1">
      <alignment vertical="center"/>
    </xf>
    <xf numFmtId="0" fontId="0" fillId="0" borderId="23" xfId="0" applyFont="1" applyBorder="1" applyAlignment="1">
      <alignment horizontal="center" wrapText="1"/>
    </xf>
    <xf numFmtId="0" fontId="0" fillId="0" borderId="21" xfId="0" applyFont="1" applyBorder="1" applyAlignment="1">
      <alignment horizontal="center" wrapText="1"/>
    </xf>
    <xf numFmtId="166" fontId="0" fillId="0" borderId="23" xfId="0" applyNumberFormat="1" applyFont="1" applyBorder="1" applyAlignment="1">
      <alignment/>
    </xf>
    <xf numFmtId="38" fontId="0" fillId="0" borderId="23" xfId="0" applyNumberFormat="1" applyFont="1" applyBorder="1" applyAlignment="1">
      <alignment/>
    </xf>
    <xf numFmtId="166" fontId="0" fillId="0" borderId="21" xfId="62" applyNumberFormat="1" applyFont="1" applyBorder="1" applyAlignment="1">
      <alignment horizontal="right"/>
    </xf>
    <xf numFmtId="166" fontId="0" fillId="0" borderId="13" xfId="62" applyNumberFormat="1" applyFont="1" applyBorder="1" applyAlignment="1">
      <alignment horizontal="right"/>
    </xf>
    <xf numFmtId="38" fontId="0" fillId="0" borderId="22" xfId="0" applyNumberFormat="1" applyFont="1" applyBorder="1" applyAlignment="1" applyProtection="1">
      <alignment/>
      <protection locked="0"/>
    </xf>
    <xf numFmtId="38" fontId="0" fillId="0" borderId="22" xfId="0" applyNumberFormat="1" applyFont="1" applyBorder="1" applyAlignment="1">
      <alignment/>
    </xf>
    <xf numFmtId="38" fontId="0" fillId="0" borderId="11" xfId="0" applyNumberFormat="1" applyFont="1" applyBorder="1" applyAlignment="1" applyProtection="1">
      <alignment/>
      <protection locked="0"/>
    </xf>
    <xf numFmtId="38" fontId="0" fillId="0" borderId="11" xfId="0" applyNumberFormat="1" applyFont="1" applyBorder="1" applyAlignment="1">
      <alignment/>
    </xf>
    <xf numFmtId="166" fontId="0" fillId="0" borderId="23" xfId="62" applyNumberFormat="1" applyFont="1" applyBorder="1" applyAlignment="1">
      <alignment/>
    </xf>
    <xf numFmtId="166" fontId="0" fillId="0" borderId="13" xfId="62" applyNumberFormat="1" applyFont="1" applyBorder="1" applyAlignment="1">
      <alignment/>
    </xf>
    <xf numFmtId="164" fontId="0" fillId="0" borderId="20" xfId="0" applyNumberFormat="1" applyFont="1" applyBorder="1" applyAlignment="1">
      <alignment/>
    </xf>
    <xf numFmtId="185" fontId="0" fillId="0" borderId="17" xfId="0" applyNumberFormat="1" applyFont="1" applyBorder="1" applyAlignment="1" applyProtection="1">
      <alignment/>
      <protection locked="0"/>
    </xf>
    <xf numFmtId="0" fontId="0" fillId="0" borderId="21" xfId="0" applyBorder="1" applyAlignment="1">
      <alignment/>
    </xf>
    <xf numFmtId="185" fontId="0" fillId="0" borderId="18" xfId="0" applyNumberFormat="1" applyFont="1" applyBorder="1" applyAlignment="1">
      <alignment/>
    </xf>
    <xf numFmtId="185" fontId="0" fillId="0" borderId="23" xfId="0" applyNumberFormat="1" applyFont="1" applyBorder="1" applyAlignment="1">
      <alignment/>
    </xf>
    <xf numFmtId="185" fontId="0" fillId="0" borderId="15" xfId="0" applyNumberFormat="1" applyFont="1" applyBorder="1" applyAlignment="1">
      <alignment/>
    </xf>
    <xf numFmtId="0" fontId="0" fillId="0" borderId="10" xfId="0" applyBorder="1" applyAlignment="1">
      <alignment/>
    </xf>
    <xf numFmtId="0" fontId="0" fillId="0" borderId="23" xfId="0" applyBorder="1" applyAlignment="1">
      <alignment/>
    </xf>
    <xf numFmtId="38" fontId="0" fillId="0" borderId="29" xfId="0" applyNumberFormat="1" applyBorder="1" applyAlignment="1">
      <alignment/>
    </xf>
    <xf numFmtId="0" fontId="23" fillId="0" borderId="0" xfId="0" applyFont="1" applyAlignment="1">
      <alignment/>
    </xf>
    <xf numFmtId="0" fontId="23" fillId="0" borderId="0" xfId="0" applyFont="1" applyAlignment="1">
      <alignment horizontal="left"/>
    </xf>
    <xf numFmtId="0" fontId="23" fillId="0" borderId="12" xfId="0" applyFont="1" applyBorder="1" applyAlignment="1">
      <alignment/>
    </xf>
    <xf numFmtId="38" fontId="23" fillId="0" borderId="14" xfId="0" applyNumberFormat="1" applyFont="1" applyBorder="1" applyAlignment="1">
      <alignment/>
    </xf>
    <xf numFmtId="38" fontId="23" fillId="0" borderId="13" xfId="0" applyNumberFormat="1" applyFont="1" applyBorder="1" applyAlignment="1">
      <alignment/>
    </xf>
    <xf numFmtId="0" fontId="23" fillId="0" borderId="21" xfId="0" applyFont="1" applyBorder="1" applyAlignment="1">
      <alignment/>
    </xf>
    <xf numFmtId="0" fontId="23" fillId="0" borderId="17" xfId="0" applyFont="1" applyBorder="1" applyAlignment="1">
      <alignment/>
    </xf>
    <xf numFmtId="38" fontId="23" fillId="0" borderId="23" xfId="0" applyNumberFormat="1" applyFont="1" applyBorder="1" applyAlignment="1">
      <alignment/>
    </xf>
    <xf numFmtId="0" fontId="23" fillId="0" borderId="24" xfId="0" applyFont="1" applyBorder="1" applyAlignment="1">
      <alignment/>
    </xf>
    <xf numFmtId="0" fontId="23" fillId="0" borderId="16" xfId="0" applyFont="1" applyBorder="1" applyAlignment="1">
      <alignment/>
    </xf>
    <xf numFmtId="0" fontId="23" fillId="0" borderId="0" xfId="0" applyFont="1" applyAlignment="1">
      <alignment horizontal="right"/>
    </xf>
    <xf numFmtId="0" fontId="23" fillId="0" borderId="21" xfId="0" applyFont="1" applyBorder="1" applyAlignment="1">
      <alignment horizontal="center"/>
    </xf>
    <xf numFmtId="0" fontId="23" fillId="0" borderId="23" xfId="0" applyFont="1" applyBorder="1" applyAlignment="1">
      <alignment horizontal="center"/>
    </xf>
    <xf numFmtId="38" fontId="23" fillId="0" borderId="21" xfId="0" applyNumberFormat="1" applyFont="1" applyBorder="1" applyAlignment="1">
      <alignment/>
    </xf>
    <xf numFmtId="0" fontId="23" fillId="0" borderId="0" xfId="0" applyFont="1" applyAlignment="1">
      <alignment vertical="center" wrapText="1"/>
    </xf>
    <xf numFmtId="0" fontId="24" fillId="0" borderId="10" xfId="0" applyFont="1" applyBorder="1" applyAlignment="1">
      <alignment/>
    </xf>
    <xf numFmtId="0" fontId="23" fillId="0" borderId="20" xfId="0" applyFont="1" applyBorder="1" applyAlignment="1">
      <alignment/>
    </xf>
    <xf numFmtId="0" fontId="23" fillId="0" borderId="11" xfId="0" applyFont="1" applyBorder="1" applyAlignment="1">
      <alignment/>
    </xf>
    <xf numFmtId="0" fontId="23" fillId="0" borderId="15" xfId="0" applyFont="1" applyBorder="1" applyAlignment="1">
      <alignment horizontal="center"/>
    </xf>
    <xf numFmtId="0" fontId="23" fillId="0" borderId="17" xfId="0" applyFont="1" applyBorder="1" applyAlignment="1">
      <alignment horizontal="center"/>
    </xf>
    <xf numFmtId="166" fontId="0" fillId="0" borderId="21" xfId="0" applyNumberFormat="1" applyFont="1" applyBorder="1" applyAlignment="1">
      <alignment/>
    </xf>
    <xf numFmtId="166" fontId="0" fillId="0" borderId="13" xfId="0" applyNumberFormat="1" applyFont="1" applyBorder="1" applyAlignment="1">
      <alignment/>
    </xf>
    <xf numFmtId="0" fontId="23" fillId="0" borderId="22" xfId="0" applyFont="1" applyBorder="1" applyAlignment="1">
      <alignment/>
    </xf>
    <xf numFmtId="166" fontId="0" fillId="0" borderId="14" xfId="0" applyNumberFormat="1" applyFont="1" applyBorder="1" applyAlignment="1">
      <alignment/>
    </xf>
    <xf numFmtId="166" fontId="0" fillId="0" borderId="23" xfId="0" applyNumberFormat="1" applyFont="1" applyBorder="1" applyAlignment="1">
      <alignment/>
    </xf>
    <xf numFmtId="0" fontId="23" fillId="0" borderId="19" xfId="0" applyFont="1" applyBorder="1" applyAlignment="1">
      <alignment/>
    </xf>
    <xf numFmtId="0" fontId="23" fillId="0" borderId="10" xfId="0" applyFont="1" applyBorder="1" applyAlignment="1">
      <alignment/>
    </xf>
    <xf numFmtId="0" fontId="23" fillId="0" borderId="18" xfId="0" applyFont="1" applyBorder="1" applyAlignment="1">
      <alignment/>
    </xf>
    <xf numFmtId="0" fontId="24" fillId="0" borderId="11" xfId="0" applyFont="1" applyBorder="1" applyAlignment="1">
      <alignment horizontal="left"/>
    </xf>
    <xf numFmtId="0" fontId="24" fillId="0" borderId="22" xfId="0" applyFont="1" applyBorder="1" applyAlignment="1">
      <alignment horizontal="left"/>
    </xf>
    <xf numFmtId="0" fontId="23" fillId="0" borderId="11" xfId="0" applyFont="1" applyBorder="1" applyAlignment="1">
      <alignment horizontal="left"/>
    </xf>
    <xf numFmtId="0" fontId="24" fillId="0" borderId="11" xfId="0" applyFont="1" applyBorder="1" applyAlignment="1">
      <alignment/>
    </xf>
    <xf numFmtId="0" fontId="24" fillId="0" borderId="0" xfId="0" applyFont="1" applyAlignment="1">
      <alignment horizontal="left"/>
    </xf>
    <xf numFmtId="0" fontId="23" fillId="0" borderId="15" xfId="0" applyFont="1" applyBorder="1" applyAlignment="1">
      <alignment/>
    </xf>
    <xf numFmtId="0" fontId="24" fillId="0" borderId="12" xfId="0" applyFont="1" applyBorder="1" applyAlignment="1">
      <alignment horizontal="left"/>
    </xf>
    <xf numFmtId="164" fontId="0" fillId="0" borderId="0" xfId="0" applyNumberFormat="1" applyAlignment="1">
      <alignment vertical="top"/>
    </xf>
    <xf numFmtId="166" fontId="0" fillId="0" borderId="15" xfId="0" applyNumberFormat="1" applyFont="1" applyBorder="1" applyAlignment="1">
      <alignment/>
    </xf>
    <xf numFmtId="38" fontId="23" fillId="0" borderId="22" xfId="0" applyNumberFormat="1" applyFont="1" applyBorder="1" applyAlignment="1">
      <alignment/>
    </xf>
    <xf numFmtId="38" fontId="23" fillId="0" borderId="11" xfId="0" applyNumberFormat="1" applyFont="1" applyBorder="1" applyAlignment="1">
      <alignment/>
    </xf>
    <xf numFmtId="0" fontId="9" fillId="0" borderId="0" xfId="57" applyFont="1" applyAlignment="1">
      <alignment horizontal="center" vertical="top" wrapText="1"/>
      <protection/>
    </xf>
    <xf numFmtId="0" fontId="0" fillId="0" borderId="0" xfId="0" applyAlignment="1">
      <alignment horizontal="center" vertical="top"/>
    </xf>
    <xf numFmtId="0" fontId="0" fillId="0" borderId="0" xfId="0" applyAlignment="1">
      <alignment vertical="top"/>
    </xf>
    <xf numFmtId="0" fontId="0" fillId="0" borderId="0" xfId="0" applyAlignment="1">
      <alignment horizontal="center" vertical="top" wrapText="1"/>
    </xf>
    <xf numFmtId="0" fontId="25" fillId="0" borderId="0" xfId="53" applyFont="1" applyAlignment="1" applyProtection="1">
      <alignment horizontal="centerContinuous"/>
      <protection/>
    </xf>
    <xf numFmtId="0" fontId="26" fillId="0" borderId="0" xfId="53" applyFont="1" applyAlignment="1" applyProtection="1">
      <alignment horizontal="centerContinuous"/>
      <protection/>
    </xf>
    <xf numFmtId="0" fontId="9" fillId="0" borderId="0" xfId="57" applyFont="1" applyAlignment="1">
      <alignment horizontal="center" vertical="top"/>
      <protection/>
    </xf>
    <xf numFmtId="0" fontId="0" fillId="0" borderId="0" xfId="0" applyFont="1" applyAlignment="1">
      <alignment horizontal="center" vertical="top" wrapText="1"/>
    </xf>
    <xf numFmtId="0" fontId="27" fillId="0" borderId="0" xfId="0" applyFont="1" applyAlignment="1">
      <alignment/>
    </xf>
    <xf numFmtId="0" fontId="27" fillId="0" borderId="0" xfId="0" applyFont="1" applyAlignment="1">
      <alignment horizontal="centerContinuous"/>
    </xf>
    <xf numFmtId="49" fontId="0" fillId="0" borderId="12" xfId="0" applyNumberFormat="1" applyFont="1" applyBorder="1" applyAlignment="1" applyProtection="1">
      <alignment horizontal="center"/>
      <protection locked="0"/>
    </xf>
    <xf numFmtId="0" fontId="25" fillId="35" borderId="20" xfId="53" applyFont="1" applyFill="1" applyBorder="1" applyAlignment="1" applyProtection="1">
      <alignment/>
      <protection/>
    </xf>
    <xf numFmtId="0" fontId="25" fillId="35" borderId="0" xfId="53" applyFont="1" applyFill="1" applyAlignment="1" applyProtection="1">
      <alignment/>
      <protection/>
    </xf>
    <xf numFmtId="0" fontId="26" fillId="35" borderId="0" xfId="53" applyFont="1" applyFill="1" applyAlignment="1" applyProtection="1">
      <alignment/>
      <protection/>
    </xf>
    <xf numFmtId="0" fontId="26" fillId="35" borderId="0" xfId="53" applyFont="1" applyFill="1" applyAlignment="1" applyProtection="1">
      <alignment horizontal="centerContinuous"/>
      <protection/>
    </xf>
    <xf numFmtId="0" fontId="25" fillId="35" borderId="12" xfId="53" applyFont="1" applyFill="1" applyBorder="1" applyAlignment="1" applyProtection="1">
      <alignment/>
      <protection/>
    </xf>
    <xf numFmtId="49" fontId="0" fillId="0" borderId="12" xfId="0" applyNumberFormat="1" applyFont="1" applyBorder="1" applyAlignment="1">
      <alignment horizontal="center"/>
    </xf>
    <xf numFmtId="49" fontId="0" fillId="0" borderId="12" xfId="0" applyNumberFormat="1" applyBorder="1" applyAlignment="1">
      <alignment horizontal="center"/>
    </xf>
    <xf numFmtId="0" fontId="11" fillId="0" borderId="0" xfId="53" applyFont="1" applyAlignment="1" applyProtection="1">
      <alignment horizontal="center" vertical="top"/>
      <protection/>
    </xf>
    <xf numFmtId="0" fontId="11" fillId="35" borderId="23" xfId="53" applyFont="1" applyFill="1" applyBorder="1" applyAlignment="1" applyProtection="1">
      <alignment horizontal="center"/>
      <protection/>
    </xf>
    <xf numFmtId="0" fontId="11" fillId="35" borderId="12" xfId="53" applyFont="1" applyFill="1" applyBorder="1" applyAlignment="1" applyProtection="1">
      <alignment/>
      <protection/>
    </xf>
    <xf numFmtId="0" fontId="12" fillId="35" borderId="0" xfId="53" applyFont="1" applyFill="1" applyAlignment="1" applyProtection="1">
      <alignment horizontal="centerContinuous"/>
      <protection/>
    </xf>
    <xf numFmtId="0" fontId="12" fillId="35" borderId="0" xfId="53" applyFont="1" applyFill="1" applyAlignment="1" applyProtection="1">
      <alignment horizontal="left" vertical="center"/>
      <protection/>
    </xf>
    <xf numFmtId="0" fontId="11" fillId="35" borderId="11" xfId="53" applyFont="1" applyFill="1" applyBorder="1" applyAlignment="1" applyProtection="1">
      <alignment/>
      <protection/>
    </xf>
    <xf numFmtId="0" fontId="11" fillId="35" borderId="10" xfId="53" applyFont="1" applyFill="1" applyBorder="1" applyAlignment="1" applyProtection="1">
      <alignment/>
      <protection/>
    </xf>
    <xf numFmtId="164" fontId="0" fillId="0" borderId="16" xfId="0" applyNumberFormat="1" applyBorder="1" applyAlignment="1">
      <alignment/>
    </xf>
    <xf numFmtId="0" fontId="11" fillId="35" borderId="0" xfId="53" applyFont="1" applyFill="1" applyAlignment="1" applyProtection="1">
      <alignment vertical="center"/>
      <protection/>
    </xf>
    <xf numFmtId="164" fontId="0" fillId="0" borderId="0" xfId="0" applyNumberFormat="1" applyAlignment="1">
      <alignment/>
    </xf>
    <xf numFmtId="0" fontId="12" fillId="35" borderId="0" xfId="53" applyFont="1" applyFill="1" applyAlignment="1" applyProtection="1">
      <alignment horizontal="centerContinuous" vertical="center"/>
      <protection/>
    </xf>
    <xf numFmtId="38" fontId="0" fillId="0" borderId="0" xfId="0" applyNumberFormat="1" applyFont="1" applyAlignment="1">
      <alignment/>
    </xf>
    <xf numFmtId="0" fontId="12" fillId="35" borderId="0" xfId="53" applyFont="1" applyFill="1" applyAlignment="1" applyProtection="1">
      <alignment horizontal="centerContinuous"/>
      <protection/>
    </xf>
    <xf numFmtId="0" fontId="11" fillId="0" borderId="0" xfId="53" applyFont="1" applyAlignment="1" applyProtection="1">
      <alignment horizontal="center" vertical="top" wrapText="1"/>
      <protection/>
    </xf>
    <xf numFmtId="0" fontId="0" fillId="0" borderId="23" xfId="0" applyFont="1" applyBorder="1" applyAlignment="1">
      <alignment horizontal="center"/>
    </xf>
    <xf numFmtId="0" fontId="0" fillId="0" borderId="21" xfId="0" applyFont="1" applyBorder="1" applyAlignment="1">
      <alignment horizontal="center"/>
    </xf>
    <xf numFmtId="38" fontId="23" fillId="0" borderId="0" xfId="0" applyNumberFormat="1" applyFont="1" applyAlignment="1">
      <alignment/>
    </xf>
    <xf numFmtId="166" fontId="0" fillId="0" borderId="0" xfId="0" applyNumberFormat="1" applyFont="1" applyAlignment="1">
      <alignment/>
    </xf>
    <xf numFmtId="0" fontId="0" fillId="0" borderId="0" xfId="0" applyFont="1" applyAlignment="1">
      <alignment horizontal="justify" vertical="top" wrapText="1"/>
    </xf>
    <xf numFmtId="38" fontId="0" fillId="0" borderId="21" xfId="0" applyNumberFormat="1" applyBorder="1" applyAlignment="1" applyProtection="1">
      <alignment vertical="center"/>
      <protection locked="0"/>
    </xf>
    <xf numFmtId="38" fontId="0" fillId="34" borderId="23" xfId="0" applyNumberFormat="1" applyFont="1" applyFill="1" applyBorder="1" applyAlignment="1">
      <alignment/>
    </xf>
    <xf numFmtId="0" fontId="11" fillId="0" borderId="0" xfId="53" applyFont="1" applyAlignment="1" applyProtection="1">
      <alignment vertical="center"/>
      <protection/>
    </xf>
    <xf numFmtId="38" fontId="0" fillId="0" borderId="0" xfId="0" applyNumberFormat="1" applyFont="1" applyAlignment="1">
      <alignment vertical="center" readingOrder="1"/>
    </xf>
    <xf numFmtId="38" fontId="0" fillId="0" borderId="0" xfId="0" applyNumberFormat="1" applyAlignment="1">
      <alignment vertical="center" readingOrder="1"/>
    </xf>
    <xf numFmtId="0" fontId="0" fillId="35" borderId="0" xfId="0" applyFill="1" applyAlignment="1">
      <alignment vertical="center"/>
    </xf>
    <xf numFmtId="38" fontId="0" fillId="35" borderId="0" xfId="0" applyNumberFormat="1" applyFill="1" applyAlignment="1">
      <alignment vertical="center"/>
    </xf>
    <xf numFmtId="38" fontId="0" fillId="0" borderId="14" xfId="0" applyNumberFormat="1" applyBorder="1" applyAlignment="1">
      <alignment vertical="center"/>
    </xf>
    <xf numFmtId="0" fontId="23" fillId="0" borderId="0" xfId="0" applyFont="1" applyAlignment="1">
      <alignment horizontal="center"/>
    </xf>
    <xf numFmtId="38" fontId="0" fillId="34" borderId="21" xfId="0" applyNumberFormat="1" applyFont="1" applyFill="1" applyBorder="1" applyAlignment="1">
      <alignment/>
    </xf>
    <xf numFmtId="38" fontId="0" fillId="34" borderId="14" xfId="0" applyNumberFormat="1" applyFont="1" applyFill="1" applyBorder="1" applyAlignment="1">
      <alignment/>
    </xf>
    <xf numFmtId="38" fontId="0" fillId="34" borderId="10" xfId="0" applyNumberFormat="1" applyFont="1" applyFill="1" applyBorder="1" applyAlignment="1">
      <alignment/>
    </xf>
    <xf numFmtId="38" fontId="0" fillId="34" borderId="11" xfId="0" applyNumberFormat="1" applyFont="1" applyFill="1" applyBorder="1" applyAlignment="1">
      <alignment/>
    </xf>
    <xf numFmtId="38" fontId="0" fillId="34" borderId="22" xfId="0" applyNumberFormat="1" applyFont="1" applyFill="1" applyBorder="1" applyAlignment="1">
      <alignment/>
    </xf>
    <xf numFmtId="0" fontId="11" fillId="35" borderId="20" xfId="53" applyFont="1" applyFill="1" applyBorder="1" applyAlignment="1" applyProtection="1">
      <alignment/>
      <protection/>
    </xf>
    <xf numFmtId="165" fontId="0" fillId="0" borderId="24" xfId="0" applyNumberFormat="1" applyBorder="1" applyAlignment="1" applyProtection="1">
      <alignment/>
      <protection locked="0"/>
    </xf>
    <xf numFmtId="0" fontId="26" fillId="0" borderId="0" xfId="53" applyFont="1" applyAlignment="1" applyProtection="1">
      <alignment/>
      <protection/>
    </xf>
    <xf numFmtId="164" fontId="0" fillId="0" borderId="0" xfId="0" applyNumberFormat="1" applyFont="1" applyAlignment="1" quotePrefix="1">
      <alignment horizontal="right" vertical="center"/>
    </xf>
    <xf numFmtId="0" fontId="0" fillId="0" borderId="0" xfId="0" applyFont="1" applyAlignment="1">
      <alignment wrapText="1"/>
    </xf>
    <xf numFmtId="0" fontId="0" fillId="0" borderId="0" xfId="0" applyAlignment="1">
      <alignment vertical="top" wrapText="1"/>
    </xf>
    <xf numFmtId="0" fontId="0" fillId="0" borderId="0" xfId="0" applyFont="1" applyAlignment="1" quotePrefix="1">
      <alignment/>
    </xf>
    <xf numFmtId="0" fontId="12" fillId="0" borderId="0" xfId="53" applyFont="1" applyAlignment="1" applyProtection="1">
      <alignment horizontal="centerContinuous" vertical="center"/>
      <protection/>
    </xf>
    <xf numFmtId="0" fontId="12" fillId="0" borderId="0" xfId="53" applyFont="1" applyAlignment="1" applyProtection="1">
      <alignment horizontal="centerContinuous"/>
      <protection/>
    </xf>
    <xf numFmtId="0" fontId="12" fillId="0" borderId="0" xfId="53" applyFont="1" applyAlignment="1" applyProtection="1">
      <alignment horizontal="left" vertical="center"/>
      <protection/>
    </xf>
    <xf numFmtId="38" fontId="0" fillId="0" borderId="14" xfId="0" applyNumberFormat="1" applyFont="1" applyBorder="1" applyAlignment="1">
      <alignment/>
    </xf>
    <xf numFmtId="3" fontId="0" fillId="0" borderId="12" xfId="0" applyNumberFormat="1" applyFont="1" applyBorder="1" applyAlignment="1" applyProtection="1" quotePrefix="1">
      <alignment/>
      <protection locked="0"/>
    </xf>
    <xf numFmtId="0" fontId="28" fillId="0" borderId="0" xfId="0" applyFont="1" applyAlignment="1">
      <alignment/>
    </xf>
    <xf numFmtId="0" fontId="6" fillId="0" borderId="0" xfId="53" applyAlignment="1" applyProtection="1">
      <alignment horizontal="justify" vertical="top" wrapText="1"/>
      <protection/>
    </xf>
    <xf numFmtId="0" fontId="11" fillId="0" borderId="0" xfId="53" applyFont="1" applyAlignment="1" applyProtection="1">
      <alignment/>
      <protection/>
    </xf>
    <xf numFmtId="166" fontId="0" fillId="0" borderId="14" xfId="0" applyNumberFormat="1" applyFont="1" applyBorder="1" applyAlignment="1">
      <alignment horizontal="right"/>
    </xf>
    <xf numFmtId="0" fontId="0" fillId="0" borderId="11" xfId="0" applyBorder="1" applyAlignment="1">
      <alignment/>
    </xf>
    <xf numFmtId="3" fontId="0" fillId="0" borderId="0" xfId="0" applyNumberFormat="1" applyAlignment="1">
      <alignment/>
    </xf>
    <xf numFmtId="3" fontId="0" fillId="0" borderId="0" xfId="0" applyNumberFormat="1" applyFont="1" applyAlignment="1">
      <alignment/>
    </xf>
    <xf numFmtId="166" fontId="0" fillId="0" borderId="24" xfId="0" applyNumberFormat="1" applyBorder="1" applyAlignment="1">
      <alignment horizontal="right" vertical="top"/>
    </xf>
    <xf numFmtId="0" fontId="16" fillId="0" borderId="0" xfId="0" applyFont="1" applyAlignment="1">
      <alignment vertical="center"/>
    </xf>
    <xf numFmtId="0" fontId="29" fillId="0" borderId="0" xfId="0" applyFont="1" applyAlignment="1">
      <alignment/>
    </xf>
    <xf numFmtId="49" fontId="0" fillId="0" borderId="12" xfId="0" applyNumberFormat="1" applyBorder="1" applyAlignment="1">
      <alignment/>
    </xf>
    <xf numFmtId="0" fontId="0" fillId="0" borderId="0" xfId="0" applyFont="1" applyAlignment="1">
      <alignment horizontal="right"/>
    </xf>
    <xf numFmtId="49" fontId="0" fillId="0" borderId="0" xfId="0" applyNumberFormat="1" applyAlignment="1">
      <alignment/>
    </xf>
    <xf numFmtId="0" fontId="0" fillId="0" borderId="14" xfId="0" applyFont="1" applyBorder="1" applyAlignment="1" applyProtection="1">
      <alignment/>
      <protection locked="0"/>
    </xf>
    <xf numFmtId="49" fontId="0" fillId="0" borderId="0" xfId="0" applyNumberFormat="1" applyAlignment="1">
      <alignment horizontal="left" vertical="top"/>
    </xf>
    <xf numFmtId="0" fontId="11" fillId="0" borderId="0" xfId="53" applyFont="1" applyAlignment="1" applyProtection="1">
      <alignment horizontal="center" vertical="top" wrapText="1"/>
      <protection/>
    </xf>
    <xf numFmtId="0" fontId="29" fillId="0" borderId="0" xfId="0" applyFont="1" applyAlignment="1">
      <alignment vertical="center"/>
    </xf>
    <xf numFmtId="0" fontId="30" fillId="0" borderId="0" xfId="0" applyFont="1" applyAlignment="1">
      <alignment/>
    </xf>
    <xf numFmtId="197" fontId="0" fillId="0" borderId="14" xfId="0" applyNumberFormat="1" applyFont="1" applyBorder="1" applyAlignment="1" applyProtection="1">
      <alignment/>
      <protection locked="0"/>
    </xf>
    <xf numFmtId="0" fontId="0" fillId="0" borderId="14" xfId="0" applyFont="1" applyBorder="1" applyAlignment="1">
      <alignment horizontal="center"/>
    </xf>
    <xf numFmtId="0" fontId="18" fillId="0" borderId="14" xfId="53" applyFont="1" applyBorder="1" applyAlignment="1">
      <alignment/>
    </xf>
    <xf numFmtId="49" fontId="0" fillId="0" borderId="12" xfId="0" applyNumberFormat="1" applyBorder="1" applyAlignment="1">
      <alignment horizontal="left"/>
    </xf>
    <xf numFmtId="0" fontId="20" fillId="0" borderId="0" xfId="58" applyFont="1">
      <alignment/>
      <protection/>
    </xf>
    <xf numFmtId="0" fontId="0" fillId="0" borderId="24" xfId="0" applyFont="1" applyBorder="1" applyAlignment="1">
      <alignment/>
    </xf>
    <xf numFmtId="0" fontId="0" fillId="0" borderId="22" xfId="0" applyFont="1" applyBorder="1" applyAlignment="1">
      <alignment/>
    </xf>
    <xf numFmtId="0" fontId="11" fillId="0" borderId="30" xfId="0" applyFont="1" applyBorder="1" applyAlignment="1">
      <alignment/>
    </xf>
    <xf numFmtId="0" fontId="1" fillId="0" borderId="0" xfId="0" applyFont="1" applyAlignment="1">
      <alignment/>
    </xf>
    <xf numFmtId="0" fontId="1" fillId="0" borderId="0" xfId="0" applyFont="1" applyAlignment="1">
      <alignment horizontal="centerContinuous"/>
    </xf>
    <xf numFmtId="0" fontId="1" fillId="0" borderId="0" xfId="0" applyFont="1" applyAlignment="1">
      <alignment horizontal="left"/>
    </xf>
    <xf numFmtId="0" fontId="1" fillId="0" borderId="0" xfId="0" applyFont="1" applyAlignment="1">
      <alignment vertical="top"/>
    </xf>
    <xf numFmtId="0" fontId="0" fillId="0" borderId="0" xfId="0" applyFont="1" applyAlignment="1">
      <alignment horizontal="left" vertical="top" wrapText="1"/>
    </xf>
    <xf numFmtId="164" fontId="0" fillId="0" borderId="0" xfId="0" applyNumberFormat="1" applyFont="1" applyAlignment="1">
      <alignment/>
    </xf>
    <xf numFmtId="0" fontId="11" fillId="32" borderId="31" xfId="53" applyFont="1" applyFill="1" applyBorder="1" applyAlignment="1" applyProtection="1">
      <alignment horizontal="left"/>
      <protection/>
    </xf>
    <xf numFmtId="0" fontId="11" fillId="32" borderId="31" xfId="53" applyFont="1" applyFill="1" applyBorder="1" applyAlignment="1" applyProtection="1">
      <alignment/>
      <protection/>
    </xf>
    <xf numFmtId="0" fontId="1" fillId="0" borderId="0" xfId="0" applyFont="1" applyAlignment="1">
      <alignment horizontal="right"/>
    </xf>
    <xf numFmtId="0" fontId="1" fillId="0" borderId="0" xfId="0" applyFont="1" applyAlignment="1">
      <alignment horizontal="center"/>
    </xf>
    <xf numFmtId="0" fontId="24" fillId="0" borderId="0" xfId="0" applyFont="1" applyAlignment="1">
      <alignment horizontal="left"/>
    </xf>
    <xf numFmtId="0" fontId="29" fillId="32" borderId="19" xfId="0" applyFont="1" applyFill="1" applyBorder="1" applyAlignment="1">
      <alignment/>
    </xf>
    <xf numFmtId="0" fontId="0" fillId="32" borderId="19" xfId="0" applyFont="1" applyFill="1" applyBorder="1" applyAlignment="1">
      <alignment/>
    </xf>
    <xf numFmtId="0" fontId="24" fillId="0" borderId="0" xfId="0" applyFont="1" applyAlignment="1">
      <alignment/>
    </xf>
    <xf numFmtId="0" fontId="11" fillId="32" borderId="0" xfId="53" applyFont="1" applyFill="1" applyAlignment="1" applyProtection="1">
      <alignment horizontal="left"/>
      <protection/>
    </xf>
    <xf numFmtId="0" fontId="11" fillId="32" borderId="32" xfId="53" applyFont="1" applyFill="1" applyBorder="1" applyAlignment="1" applyProtection="1">
      <alignment horizontal="left"/>
      <protection/>
    </xf>
    <xf numFmtId="0" fontId="0" fillId="32" borderId="19" xfId="0" applyFont="1" applyFill="1" applyBorder="1" applyAlignment="1">
      <alignment horizontal="center"/>
    </xf>
    <xf numFmtId="0" fontId="0" fillId="0" borderId="0" xfId="0" applyFont="1" applyAlignment="1">
      <alignment horizontal="left" vertical="center"/>
    </xf>
    <xf numFmtId="0" fontId="0" fillId="0" borderId="0" xfId="58" applyFont="1">
      <alignment/>
      <protection/>
    </xf>
    <xf numFmtId="0" fontId="0" fillId="0" borderId="0" xfId="58" applyFont="1" applyAlignment="1">
      <alignment vertical="top"/>
      <protection/>
    </xf>
    <xf numFmtId="0" fontId="11" fillId="0" borderId="0" xfId="0" applyFont="1" applyAlignment="1">
      <alignment/>
    </xf>
    <xf numFmtId="0" fontId="11" fillId="32" borderId="0" xfId="53" applyFont="1" applyFill="1" applyAlignment="1" applyProtection="1">
      <alignment/>
      <protection/>
    </xf>
    <xf numFmtId="0" fontId="0" fillId="32" borderId="0" xfId="0" applyFont="1" applyFill="1" applyAlignment="1">
      <alignment/>
    </xf>
    <xf numFmtId="0" fontId="19" fillId="0" borderId="0" xfId="0" applyFont="1" applyAlignment="1">
      <alignment/>
    </xf>
    <xf numFmtId="0" fontId="0" fillId="0" borderId="19" xfId="0" applyFont="1" applyBorder="1" applyAlignment="1">
      <alignment horizontal="center"/>
    </xf>
    <xf numFmtId="176" fontId="0" fillId="0" borderId="22" xfId="0" applyNumberFormat="1" applyFont="1" applyBorder="1" applyAlignment="1">
      <alignment/>
    </xf>
    <xf numFmtId="0" fontId="0" fillId="0" borderId="33" xfId="0" applyFont="1" applyBorder="1" applyAlignment="1">
      <alignment/>
    </xf>
    <xf numFmtId="0" fontId="0" fillId="0" borderId="30" xfId="0" applyFont="1" applyBorder="1" applyAlignment="1">
      <alignment/>
    </xf>
    <xf numFmtId="0" fontId="0" fillId="0" borderId="34" xfId="0" applyFont="1" applyBorder="1" applyAlignment="1">
      <alignment/>
    </xf>
    <xf numFmtId="0" fontId="0" fillId="0" borderId="12" xfId="0" applyFont="1" applyBorder="1" applyAlignment="1" quotePrefix="1">
      <alignment/>
    </xf>
    <xf numFmtId="0" fontId="0" fillId="36" borderId="22" xfId="0" applyFont="1" applyFill="1" applyBorder="1" applyAlignment="1">
      <alignment horizontal="center"/>
    </xf>
    <xf numFmtId="0" fontId="0" fillId="36" borderId="16" xfId="0" applyFont="1" applyFill="1" applyBorder="1" applyAlignment="1">
      <alignment horizontal="center"/>
    </xf>
    <xf numFmtId="0" fontId="0" fillId="36" borderId="19" xfId="0" applyFont="1" applyFill="1" applyBorder="1" applyAlignment="1">
      <alignment/>
    </xf>
    <xf numFmtId="0" fontId="0" fillId="36" borderId="16" xfId="0" applyFont="1" applyFill="1" applyBorder="1" applyAlignment="1">
      <alignment/>
    </xf>
    <xf numFmtId="0" fontId="1" fillId="0" borderId="0" xfId="58" applyFont="1">
      <alignment/>
      <protection/>
    </xf>
    <xf numFmtId="164" fontId="0" fillId="0" borderId="0" xfId="58" applyNumberFormat="1" applyFont="1">
      <alignment/>
      <protection/>
    </xf>
    <xf numFmtId="0" fontId="1" fillId="0" borderId="0" xfId="58" applyFont="1" applyAlignment="1">
      <alignment horizontal="right"/>
      <protection/>
    </xf>
    <xf numFmtId="0" fontId="1" fillId="0" borderId="0" xfId="58" applyFont="1" applyAlignment="1">
      <alignment horizontal="center"/>
      <protection/>
    </xf>
    <xf numFmtId="49" fontId="1" fillId="0" borderId="0" xfId="58" applyNumberFormat="1" applyFont="1" applyAlignment="1">
      <alignment horizontal="center"/>
      <protection/>
    </xf>
    <xf numFmtId="0" fontId="0" fillId="0" borderId="14" xfId="58" applyFont="1" applyBorder="1" applyAlignment="1">
      <alignment horizontal="center"/>
      <protection/>
    </xf>
    <xf numFmtId="172" fontId="0" fillId="0" borderId="14" xfId="58" applyNumberFormat="1" applyFont="1" applyBorder="1">
      <alignment/>
      <protection/>
    </xf>
    <xf numFmtId="0" fontId="0" fillId="0" borderId="0" xfId="58" applyFont="1" applyAlignment="1">
      <alignment horizontal="left" vertical="top" wrapText="1"/>
      <protection/>
    </xf>
    <xf numFmtId="0" fontId="0" fillId="0" borderId="19" xfId="0" applyFont="1" applyBorder="1" applyAlignment="1">
      <alignment horizontal="left"/>
    </xf>
    <xf numFmtId="0" fontId="10" fillId="0" borderId="0" xfId="0" applyFont="1" applyAlignment="1">
      <alignment/>
    </xf>
    <xf numFmtId="0" fontId="0" fillId="0" borderId="22" xfId="0" applyFont="1" applyBorder="1" applyAlignment="1">
      <alignment horizontal="left"/>
    </xf>
    <xf numFmtId="0" fontId="0" fillId="0" borderId="30" xfId="0" applyFont="1" applyBorder="1" applyAlignment="1">
      <alignment horizontal="left"/>
    </xf>
    <xf numFmtId="0" fontId="0" fillId="0" borderId="0" xfId="58" applyFont="1" applyAlignment="1">
      <alignment horizontal="center" wrapText="1"/>
      <protection/>
    </xf>
    <xf numFmtId="164" fontId="0" fillId="0" borderId="0" xfId="58" applyNumberFormat="1" applyFont="1" applyAlignment="1" quotePrefix="1">
      <alignment horizontal="left"/>
      <protection/>
    </xf>
    <xf numFmtId="164" fontId="0" fillId="0" borderId="0" xfId="58" applyNumberFormat="1" applyFont="1" applyAlignment="1">
      <alignment horizontal="left"/>
      <protection/>
    </xf>
    <xf numFmtId="172" fontId="0" fillId="0" borderId="0" xfId="0" applyNumberFormat="1" applyFont="1" applyAlignment="1">
      <alignment horizontal="right"/>
    </xf>
    <xf numFmtId="172" fontId="0" fillId="0" borderId="0" xfId="58" applyNumberFormat="1" applyFont="1">
      <alignment/>
      <protection/>
    </xf>
    <xf numFmtId="0" fontId="0" fillId="0" borderId="0" xfId="58" applyFont="1" applyAlignment="1">
      <alignment horizontal="right"/>
      <protection/>
    </xf>
    <xf numFmtId="0" fontId="1" fillId="0" borderId="12" xfId="58" applyFont="1" applyBorder="1" applyAlignment="1">
      <alignment horizontal="center"/>
      <protection/>
    </xf>
    <xf numFmtId="0" fontId="20" fillId="0" borderId="0" xfId="58" applyFont="1" quotePrefix="1">
      <alignment/>
      <protection/>
    </xf>
    <xf numFmtId="39" fontId="20" fillId="0" borderId="0" xfId="44" applyNumberFormat="1" applyFont="1" applyAlignment="1">
      <alignment/>
    </xf>
    <xf numFmtId="4" fontId="0" fillId="0" borderId="24" xfId="0" applyNumberFormat="1" applyFont="1" applyBorder="1" applyAlignment="1">
      <alignment/>
    </xf>
    <xf numFmtId="0" fontId="21" fillId="0" borderId="0" xfId="58" applyFont="1" applyAlignment="1">
      <alignment wrapText="1"/>
      <protection/>
    </xf>
    <xf numFmtId="0" fontId="21" fillId="0" borderId="0" xfId="58" applyFont="1" applyAlignment="1">
      <alignment horizontal="left" wrapText="1"/>
      <protection/>
    </xf>
    <xf numFmtId="0" fontId="21" fillId="0" borderId="0" xfId="58" applyFont="1">
      <alignment/>
      <protection/>
    </xf>
    <xf numFmtId="0" fontId="20" fillId="0" borderId="0" xfId="58" applyFont="1" applyAlignment="1">
      <alignment horizontal="center"/>
      <protection/>
    </xf>
    <xf numFmtId="4" fontId="0" fillId="0" borderId="12" xfId="0" applyNumberFormat="1" applyFont="1" applyBorder="1" applyAlignment="1">
      <alignment/>
    </xf>
    <xf numFmtId="4" fontId="0" fillId="0" borderId="35" xfId="0" applyNumberFormat="1" applyFont="1" applyBorder="1" applyAlignment="1">
      <alignment/>
    </xf>
    <xf numFmtId="4" fontId="0" fillId="0" borderId="0" xfId="0" applyNumberFormat="1" applyFont="1" applyAlignment="1">
      <alignment/>
    </xf>
    <xf numFmtId="0" fontId="20" fillId="0" borderId="0" xfId="58" applyFont="1" applyAlignment="1">
      <alignment horizontal="right"/>
      <protection/>
    </xf>
    <xf numFmtId="0" fontId="0" fillId="0" borderId="36" xfId="0" applyFont="1" applyBorder="1" applyAlignment="1" applyProtection="1">
      <alignment/>
      <protection locked="0"/>
    </xf>
    <xf numFmtId="0" fontId="0" fillId="0" borderId="37" xfId="0" applyFont="1" applyBorder="1" applyAlignment="1" applyProtection="1">
      <alignment/>
      <protection locked="0"/>
    </xf>
    <xf numFmtId="0" fontId="0" fillId="0" borderId="38" xfId="0" applyFont="1" applyBorder="1" applyAlignment="1" applyProtection="1">
      <alignment/>
      <protection locked="0"/>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horizontal="centerContinuous"/>
    </xf>
    <xf numFmtId="0" fontId="0" fillId="0" borderId="22" xfId="0" applyFont="1" applyBorder="1" applyAlignment="1">
      <alignment horizontal="center"/>
    </xf>
    <xf numFmtId="0" fontId="0" fillId="0" borderId="32" xfId="0" applyFont="1" applyBorder="1" applyAlignment="1">
      <alignment/>
    </xf>
    <xf numFmtId="0" fontId="0" fillId="0" borderId="11" xfId="0" applyFont="1" applyBorder="1" applyAlignment="1">
      <alignment/>
    </xf>
    <xf numFmtId="0" fontId="0" fillId="0" borderId="31" xfId="0" applyFont="1" applyBorder="1" applyAlignment="1">
      <alignment/>
    </xf>
    <xf numFmtId="0" fontId="0" fillId="0" borderId="15" xfId="0" applyFont="1" applyBorder="1" applyAlignment="1">
      <alignment/>
    </xf>
    <xf numFmtId="0" fontId="0" fillId="0" borderId="39" xfId="0" applyFont="1" applyBorder="1" applyAlignment="1">
      <alignment/>
    </xf>
    <xf numFmtId="198" fontId="0" fillId="0" borderId="22" xfId="0" applyNumberFormat="1" applyFont="1" applyBorder="1" applyAlignment="1">
      <alignment/>
    </xf>
    <xf numFmtId="198" fontId="0" fillId="0" borderId="12" xfId="0" applyNumberFormat="1" applyFont="1" applyBorder="1" applyAlignment="1">
      <alignment/>
    </xf>
    <xf numFmtId="200" fontId="0" fillId="0" borderId="17" xfId="0" applyNumberFormat="1" applyFont="1" applyBorder="1" applyAlignment="1">
      <alignment/>
    </xf>
    <xf numFmtId="0" fontId="0" fillId="0" borderId="17" xfId="0" applyFont="1" applyBorder="1" applyAlignment="1">
      <alignment/>
    </xf>
    <xf numFmtId="176" fontId="0" fillId="0" borderId="17" xfId="0" applyNumberFormat="1" applyFont="1" applyBorder="1" applyAlignment="1">
      <alignment/>
    </xf>
    <xf numFmtId="0" fontId="0" fillId="0" borderId="40" xfId="0" applyFont="1" applyBorder="1" applyAlignment="1">
      <alignment/>
    </xf>
    <xf numFmtId="198" fontId="0" fillId="0" borderId="17" xfId="0" applyNumberFormat="1" applyFont="1" applyBorder="1" applyAlignment="1">
      <alignment/>
    </xf>
    <xf numFmtId="0" fontId="0" fillId="0" borderId="16" xfId="0" applyFont="1" applyBorder="1" applyAlignment="1">
      <alignment/>
    </xf>
    <xf numFmtId="0" fontId="0" fillId="0" borderId="32" xfId="0" applyFont="1" applyBorder="1" applyAlignment="1">
      <alignment horizontal="left"/>
    </xf>
    <xf numFmtId="164" fontId="0" fillId="0" borderId="0" xfId="0" applyNumberFormat="1" applyFont="1" applyAlignment="1">
      <alignment horizontal="right"/>
    </xf>
    <xf numFmtId="198" fontId="0" fillId="0" borderId="0" xfId="0" applyNumberFormat="1" applyFont="1" applyAlignment="1">
      <alignment/>
    </xf>
    <xf numFmtId="0" fontId="15" fillId="0" borderId="30" xfId="53" applyFont="1" applyBorder="1" applyAlignment="1" applyProtection="1">
      <alignment/>
      <protection/>
    </xf>
    <xf numFmtId="172" fontId="0" fillId="0" borderId="0" xfId="58" applyNumberFormat="1" applyFont="1" applyAlignment="1">
      <alignment horizontal="right"/>
      <protection/>
    </xf>
    <xf numFmtId="0" fontId="0" fillId="0" borderId="38" xfId="58" applyFont="1" applyBorder="1" applyProtection="1">
      <alignment/>
      <protection locked="0"/>
    </xf>
    <xf numFmtId="0" fontId="0" fillId="32" borderId="0" xfId="58" applyFont="1" applyFill="1">
      <alignment/>
      <protection/>
    </xf>
    <xf numFmtId="49" fontId="0" fillId="0" borderId="0" xfId="58" applyNumberFormat="1" applyFont="1" applyAlignment="1">
      <alignment horizontal="center"/>
      <protection/>
    </xf>
    <xf numFmtId="0" fontId="0" fillId="0" borderId="0" xfId="58" applyFont="1" applyAlignment="1">
      <alignment horizontal="center"/>
      <protection/>
    </xf>
    <xf numFmtId="176" fontId="0" fillId="0" borderId="0" xfId="58" applyNumberFormat="1" applyFont="1">
      <alignment/>
      <protection/>
    </xf>
    <xf numFmtId="0" fontId="0" fillId="0" borderId="12" xfId="58" applyFont="1" applyBorder="1">
      <alignment/>
      <protection/>
    </xf>
    <xf numFmtId="0" fontId="1" fillId="0" borderId="12" xfId="58" applyFont="1" applyBorder="1" applyAlignment="1">
      <alignment horizontal="center" wrapText="1"/>
      <protection/>
    </xf>
    <xf numFmtId="198" fontId="0" fillId="0" borderId="0" xfId="58" applyNumberFormat="1" applyFont="1" applyAlignment="1">
      <alignment horizontal="center"/>
      <protection/>
    </xf>
    <xf numFmtId="176" fontId="0" fillId="0" borderId="12" xfId="58" applyNumberFormat="1" applyFont="1" applyBorder="1">
      <alignment/>
      <protection/>
    </xf>
    <xf numFmtId="176" fontId="1" fillId="0" borderId="0" xfId="58" applyNumberFormat="1" applyFont="1">
      <alignment/>
      <protection/>
    </xf>
    <xf numFmtId="0" fontId="1" fillId="0" borderId="12" xfId="58" applyFont="1" applyBorder="1">
      <alignment/>
      <protection/>
    </xf>
    <xf numFmtId="176" fontId="0" fillId="0" borderId="0" xfId="58" applyNumberFormat="1" applyFont="1" applyAlignment="1">
      <alignment horizontal="right"/>
      <protection/>
    </xf>
    <xf numFmtId="0" fontId="2" fillId="0" borderId="0" xfId="58" applyFont="1">
      <alignment/>
      <protection/>
    </xf>
    <xf numFmtId="0" fontId="1" fillId="0" borderId="12" xfId="58" applyFont="1" applyBorder="1" applyAlignment="1">
      <alignment horizontal="left"/>
      <protection/>
    </xf>
    <xf numFmtId="16" fontId="1" fillId="0" borderId="12" xfId="58" applyNumberFormat="1" applyFont="1" applyBorder="1" applyAlignment="1">
      <alignment horizontal="center"/>
      <protection/>
    </xf>
    <xf numFmtId="39" fontId="1" fillId="0" borderId="0" xfId="58" applyNumberFormat="1" applyFont="1">
      <alignment/>
      <protection/>
    </xf>
    <xf numFmtId="39" fontId="1" fillId="0" borderId="0" xfId="58" applyNumberFormat="1" applyFont="1" applyAlignment="1">
      <alignment horizontal="right"/>
      <protection/>
    </xf>
    <xf numFmtId="7" fontId="0" fillId="0" borderId="0" xfId="58" applyNumberFormat="1" applyFont="1">
      <alignment/>
      <protection/>
    </xf>
    <xf numFmtId="0" fontId="0" fillId="0" borderId="0" xfId="58" applyFont="1" applyAlignment="1">
      <alignment horizontal="left"/>
      <protection/>
    </xf>
    <xf numFmtId="7" fontId="0" fillId="0" borderId="12" xfId="58" applyNumberFormat="1" applyFont="1" applyBorder="1">
      <alignment/>
      <protection/>
    </xf>
    <xf numFmtId="7" fontId="1" fillId="0" borderId="0" xfId="58" applyNumberFormat="1" applyFont="1">
      <alignment/>
      <protection/>
    </xf>
    <xf numFmtId="0" fontId="1" fillId="0" borderId="0" xfId="58" applyFont="1" applyAlignment="1">
      <alignment horizontal="left" vertical="top"/>
      <protection/>
    </xf>
    <xf numFmtId="16" fontId="0" fillId="0" borderId="0" xfId="58" applyNumberFormat="1" applyFont="1" quotePrefix="1">
      <alignment/>
      <protection/>
    </xf>
    <xf numFmtId="0" fontId="0" fillId="0" borderId="0" xfId="58" applyFont="1" quotePrefix="1">
      <alignment/>
      <protection/>
    </xf>
    <xf numFmtId="0" fontId="1" fillId="0" borderId="12" xfId="0" applyFont="1" applyBorder="1" applyAlignment="1">
      <alignment horizontal="center"/>
    </xf>
    <xf numFmtId="0" fontId="0" fillId="0" borderId="0" xfId="58" applyFont="1" applyAlignment="1">
      <alignment horizontal="left" vertical="top"/>
      <protection/>
    </xf>
    <xf numFmtId="0" fontId="1" fillId="0" borderId="0" xfId="58" applyFont="1" applyAlignment="1">
      <alignment horizontal="left"/>
      <protection/>
    </xf>
    <xf numFmtId="176" fontId="0" fillId="0" borderId="12" xfId="58" applyNumberFormat="1" applyFont="1" applyBorder="1" applyAlignment="1">
      <alignment horizontal="right"/>
      <protection/>
    </xf>
    <xf numFmtId="176" fontId="1" fillId="0" borderId="0" xfId="58" applyNumberFormat="1" applyFont="1" applyAlignment="1">
      <alignment horizontal="right"/>
      <protection/>
    </xf>
    <xf numFmtId="39" fontId="0" fillId="0" borderId="12" xfId="0" applyNumberFormat="1" applyFont="1" applyBorder="1" applyAlignment="1" applyProtection="1">
      <alignment/>
      <protection locked="0"/>
    </xf>
    <xf numFmtId="0" fontId="1" fillId="0" borderId="12" xfId="0" applyFont="1" applyBorder="1" applyAlignment="1">
      <alignment horizontal="left"/>
    </xf>
    <xf numFmtId="49" fontId="1" fillId="0" borderId="12" xfId="0" applyNumberFormat="1" applyFont="1" applyBorder="1" applyAlignment="1">
      <alignment horizontal="left"/>
    </xf>
    <xf numFmtId="0" fontId="0" fillId="0" borderId="19" xfId="58" applyFont="1" applyBorder="1" applyAlignment="1">
      <alignment horizontal="center" wrapText="1"/>
      <protection/>
    </xf>
    <xf numFmtId="176" fontId="0" fillId="0" borderId="20" xfId="58" applyNumberFormat="1" applyFont="1" applyBorder="1">
      <alignment/>
      <protection/>
    </xf>
    <xf numFmtId="0" fontId="1" fillId="0" borderId="0" xfId="58" applyFont="1" applyAlignment="1">
      <alignment horizontal="center" vertical="top"/>
      <protection/>
    </xf>
    <xf numFmtId="0" fontId="1" fillId="0" borderId="12" xfId="58" applyFont="1" applyBorder="1" applyAlignment="1">
      <alignment vertical="top"/>
      <protection/>
    </xf>
    <xf numFmtId="0" fontId="1" fillId="0" borderId="12" xfId="58" applyFont="1" applyBorder="1" applyAlignment="1">
      <alignment horizontal="center" vertical="top"/>
      <protection/>
    </xf>
    <xf numFmtId="16" fontId="1" fillId="0" borderId="12" xfId="58" applyNumberFormat="1" applyFont="1" applyBorder="1" applyAlignment="1" quotePrefix="1">
      <alignment horizontal="center" vertical="top"/>
      <protection/>
    </xf>
    <xf numFmtId="49" fontId="1" fillId="0" borderId="0" xfId="58" applyNumberFormat="1" applyFont="1" applyAlignment="1">
      <alignment horizontal="left"/>
      <protection/>
    </xf>
    <xf numFmtId="200" fontId="0" fillId="0" borderId="17" xfId="0" applyNumberFormat="1" applyFont="1" applyBorder="1" applyAlignment="1">
      <alignment horizontal="right"/>
    </xf>
    <xf numFmtId="176" fontId="0" fillId="0" borderId="0" xfId="0" applyNumberFormat="1" applyFont="1" applyAlignment="1">
      <alignment/>
    </xf>
    <xf numFmtId="0" fontId="0" fillId="0" borderId="11" xfId="0" applyFont="1" applyBorder="1" applyAlignment="1">
      <alignment horizontal="left"/>
    </xf>
    <xf numFmtId="0" fontId="0" fillId="0" borderId="35" xfId="0" applyFont="1" applyBorder="1" applyAlignment="1">
      <alignment horizontal="left"/>
    </xf>
    <xf numFmtId="49" fontId="1" fillId="0" borderId="34" xfId="58" applyNumberFormat="1" applyFont="1" applyBorder="1" applyAlignment="1">
      <alignment horizontal="left"/>
      <protection/>
    </xf>
    <xf numFmtId="0" fontId="1" fillId="0" borderId="34" xfId="58" applyFont="1" applyBorder="1" applyAlignment="1">
      <alignment horizontal="right"/>
      <protection/>
    </xf>
    <xf numFmtId="0" fontId="0" fillId="0" borderId="33" xfId="0" applyFont="1" applyBorder="1" applyAlignment="1">
      <alignment horizontal="left"/>
    </xf>
    <xf numFmtId="49" fontId="1" fillId="0" borderId="35" xfId="58" applyNumberFormat="1" applyFont="1" applyBorder="1" applyAlignment="1">
      <alignment horizontal="left"/>
      <protection/>
    </xf>
    <xf numFmtId="0" fontId="1" fillId="0" borderId="35" xfId="58" applyFont="1" applyBorder="1" applyAlignment="1">
      <alignment horizontal="right"/>
      <protection/>
    </xf>
    <xf numFmtId="49" fontId="1" fillId="0" borderId="35" xfId="58" applyNumberFormat="1" applyFont="1" applyBorder="1" applyAlignment="1">
      <alignment horizontal="center"/>
      <protection/>
    </xf>
    <xf numFmtId="49" fontId="0" fillId="0" borderId="40" xfId="58" applyNumberFormat="1" applyFont="1" applyBorder="1" applyAlignment="1">
      <alignment horizontal="center"/>
      <protection/>
    </xf>
    <xf numFmtId="0" fontId="1" fillId="0" borderId="30" xfId="58" applyFont="1" applyBorder="1" applyAlignment="1">
      <alignment horizontal="right"/>
      <protection/>
    </xf>
    <xf numFmtId="0" fontId="1" fillId="0" borderId="41" xfId="58" applyFont="1" applyBorder="1" applyAlignment="1">
      <alignment horizontal="right"/>
      <protection/>
    </xf>
    <xf numFmtId="0" fontId="1" fillId="0" borderId="11" xfId="58" applyFont="1" applyBorder="1" applyAlignment="1">
      <alignment horizontal="right"/>
      <protection/>
    </xf>
    <xf numFmtId="0" fontId="1" fillId="0" borderId="33" xfId="58" applyFont="1" applyBorder="1" applyAlignment="1">
      <alignment horizontal="right"/>
      <protection/>
    </xf>
    <xf numFmtId="49" fontId="1" fillId="0" borderId="33" xfId="58" applyNumberFormat="1" applyFont="1" applyBorder="1" applyAlignment="1">
      <alignment horizontal="center"/>
      <protection/>
    </xf>
    <xf numFmtId="49" fontId="1" fillId="0" borderId="30" xfId="58" applyNumberFormat="1" applyFont="1" applyBorder="1" applyAlignment="1">
      <alignment horizontal="center"/>
      <protection/>
    </xf>
    <xf numFmtId="164" fontId="11" fillId="35" borderId="0" xfId="58" applyNumberFormat="1" applyFont="1" applyFill="1">
      <alignment/>
      <protection/>
    </xf>
    <xf numFmtId="0" fontId="31" fillId="0" borderId="0" xfId="58" applyFont="1">
      <alignment/>
      <protection/>
    </xf>
    <xf numFmtId="39" fontId="20" fillId="0" borderId="0" xfId="58" applyNumberFormat="1" applyFont="1">
      <alignment/>
      <protection/>
    </xf>
    <xf numFmtId="164" fontId="1" fillId="0" borderId="0" xfId="58" applyNumberFormat="1" applyFont="1">
      <alignment/>
      <protection/>
    </xf>
    <xf numFmtId="39" fontId="0" fillId="0" borderId="0" xfId="44" applyNumberFormat="1" applyAlignment="1">
      <alignment/>
    </xf>
    <xf numFmtId="0" fontId="0" fillId="0" borderId="19" xfId="58" applyFont="1" applyBorder="1" applyAlignment="1">
      <alignment horizontal="center"/>
      <protection/>
    </xf>
    <xf numFmtId="172" fontId="0" fillId="0" borderId="19" xfId="58" applyNumberFormat="1" applyFont="1" applyBorder="1">
      <alignment/>
      <protection/>
    </xf>
    <xf numFmtId="0" fontId="0" fillId="0" borderId="11" xfId="58" applyFont="1" applyBorder="1" applyAlignment="1">
      <alignment horizontal="center"/>
      <protection/>
    </xf>
    <xf numFmtId="172" fontId="0" fillId="0" borderId="11" xfId="58" applyNumberFormat="1" applyFont="1" applyBorder="1">
      <alignment/>
      <protection/>
    </xf>
    <xf numFmtId="0" fontId="0" fillId="0" borderId="0" xfId="58" applyFont="1" applyAlignment="1">
      <alignment vertical="top" wrapText="1"/>
      <protection/>
    </xf>
    <xf numFmtId="0" fontId="22" fillId="0" borderId="0" xfId="59" applyFill="1" applyAlignment="1">
      <alignment vertical="center" wrapText="1"/>
      <protection/>
    </xf>
    <xf numFmtId="172" fontId="0" fillId="0" borderId="0" xfId="58" applyNumberFormat="1" applyFont="1" applyAlignment="1">
      <alignment horizontal="right" wrapText="1"/>
      <protection/>
    </xf>
    <xf numFmtId="172" fontId="0" fillId="0" borderId="19" xfId="58" applyNumberFormat="1" applyFont="1" applyBorder="1" applyAlignment="1" applyProtection="1">
      <alignment horizontal="right"/>
      <protection locked="0"/>
    </xf>
    <xf numFmtId="172" fontId="0" fillId="0" borderId="19" xfId="58" applyNumberFormat="1" applyFont="1" applyBorder="1" applyAlignment="1" applyProtection="1">
      <alignment wrapText="1"/>
      <protection locked="0"/>
    </xf>
    <xf numFmtId="172" fontId="0" fillId="0" borderId="19" xfId="58" applyNumberFormat="1" applyFont="1" applyBorder="1" applyAlignment="1">
      <alignment wrapText="1"/>
      <protection/>
    </xf>
    <xf numFmtId="0" fontId="0" fillId="36" borderId="14" xfId="0" applyFont="1" applyFill="1" applyBorder="1" applyAlignment="1">
      <alignment/>
    </xf>
    <xf numFmtId="7" fontId="0" fillId="0" borderId="12" xfId="58" applyNumberFormat="1" applyFont="1" applyBorder="1" applyAlignment="1">
      <alignment horizontal="right"/>
      <protection/>
    </xf>
    <xf numFmtId="39" fontId="0" fillId="0" borderId="12" xfId="44" applyNumberFormat="1" applyBorder="1" applyAlignment="1">
      <alignment/>
    </xf>
    <xf numFmtId="39" fontId="0" fillId="0" borderId="24" xfId="44" applyNumberFormat="1" applyBorder="1" applyAlignment="1">
      <alignment/>
    </xf>
    <xf numFmtId="0" fontId="0" fillId="32" borderId="0" xfId="0" applyFont="1" applyFill="1" applyAlignment="1">
      <alignment horizontal="center"/>
    </xf>
    <xf numFmtId="176" fontId="0" fillId="0" borderId="12" xfId="0" applyNumberFormat="1" applyFont="1" applyBorder="1" applyAlignment="1">
      <alignment/>
    </xf>
    <xf numFmtId="176" fontId="0" fillId="0" borderId="24" xfId="0" applyNumberFormat="1" applyFont="1" applyBorder="1" applyAlignment="1">
      <alignment/>
    </xf>
    <xf numFmtId="176" fontId="0" fillId="32" borderId="24" xfId="0" applyNumberFormat="1" applyFont="1" applyFill="1" applyBorder="1" applyAlignment="1">
      <alignment/>
    </xf>
    <xf numFmtId="0" fontId="12" fillId="35" borderId="0" xfId="53" applyFont="1" applyFill="1" applyAlignment="1" applyProtection="1">
      <alignment horizontal="right"/>
      <protection/>
    </xf>
    <xf numFmtId="0" fontId="12" fillId="35" borderId="0" xfId="53" applyFont="1" applyFill="1" applyAlignment="1" applyProtection="1">
      <alignment/>
      <protection/>
    </xf>
    <xf numFmtId="164" fontId="11" fillId="35" borderId="0" xfId="53" applyNumberFormat="1" applyFont="1" applyFill="1" applyAlignment="1" applyProtection="1">
      <alignment/>
      <protection/>
    </xf>
    <xf numFmtId="164" fontId="0" fillId="0" borderId="0" xfId="58" applyNumberFormat="1" applyFont="1" applyAlignment="1">
      <alignment horizontal="left" wrapText="1"/>
      <protection/>
    </xf>
    <xf numFmtId="0" fontId="0" fillId="0" borderId="0" xfId="0" applyFont="1" applyAlignment="1">
      <alignment horizontal="left" wrapText="1"/>
    </xf>
    <xf numFmtId="0" fontId="23" fillId="0" borderId="0" xfId="0" applyFont="1" applyAlignment="1">
      <alignment vertical="top"/>
    </xf>
    <xf numFmtId="0" fontId="0" fillId="0" borderId="0" xfId="0" applyFont="1" applyAlignment="1">
      <alignment vertical="top"/>
    </xf>
    <xf numFmtId="0" fontId="12" fillId="0" borderId="0" xfId="53" applyFont="1" applyAlignment="1" applyProtection="1">
      <alignment/>
      <protection/>
    </xf>
    <xf numFmtId="0" fontId="6" fillId="0" borderId="0" xfId="53" applyAlignment="1" applyProtection="1">
      <alignment/>
      <protection/>
    </xf>
    <xf numFmtId="0" fontId="0" fillId="0" borderId="14" xfId="0" applyBorder="1" applyAlignment="1">
      <alignment/>
    </xf>
    <xf numFmtId="0" fontId="21" fillId="0" borderId="0" xfId="0" applyFont="1" applyAlignment="1">
      <alignment horizontal="left"/>
    </xf>
    <xf numFmtId="0" fontId="21" fillId="0" borderId="0" xfId="0" applyFont="1" applyAlignment="1">
      <alignment/>
    </xf>
    <xf numFmtId="0" fontId="0" fillId="0" borderId="0" xfId="53" applyFont="1" applyAlignment="1" applyProtection="1">
      <alignment vertical="top" wrapText="1"/>
      <protection/>
    </xf>
    <xf numFmtId="164" fontId="12" fillId="0" borderId="0" xfId="53" applyNumberFormat="1" applyFont="1" applyAlignment="1" applyProtection="1">
      <alignment/>
      <protection/>
    </xf>
    <xf numFmtId="0" fontId="12" fillId="0" borderId="0" xfId="53" applyFont="1" applyAlignment="1" applyProtection="1">
      <alignment/>
      <protection/>
    </xf>
    <xf numFmtId="0" fontId="0" fillId="0" borderId="0" xfId="0" applyFont="1" applyAlignment="1">
      <alignment wrapText="1"/>
    </xf>
    <xf numFmtId="0" fontId="12" fillId="35" borderId="0" xfId="53" applyFont="1" applyFill="1" applyAlignment="1" applyProtection="1">
      <alignment horizontal="left"/>
      <protection/>
    </xf>
    <xf numFmtId="49" fontId="12" fillId="35" borderId="0" xfId="53" applyNumberFormat="1" applyFont="1" applyFill="1" applyAlignment="1" applyProtection="1">
      <alignment horizontal="left"/>
      <protection/>
    </xf>
    <xf numFmtId="49" fontId="12" fillId="35" borderId="0" xfId="53" applyNumberFormat="1" applyFont="1" applyFill="1" applyAlignment="1" applyProtection="1">
      <alignment horizontal="center"/>
      <protection/>
    </xf>
    <xf numFmtId="0" fontId="0" fillId="0" borderId="0" xfId="58" applyFont="1" applyAlignment="1">
      <alignment wrapText="1"/>
      <protection/>
    </xf>
    <xf numFmtId="49" fontId="1" fillId="35" borderId="0" xfId="58" applyNumberFormat="1" applyFont="1" applyFill="1" applyAlignment="1">
      <alignment horizontal="left"/>
      <protection/>
    </xf>
    <xf numFmtId="0" fontId="1" fillId="35" borderId="0" xfId="58" applyFont="1" applyFill="1" applyAlignment="1">
      <alignment horizontal="right"/>
      <protection/>
    </xf>
    <xf numFmtId="49" fontId="1" fillId="35" borderId="0" xfId="58" applyNumberFormat="1" applyFont="1" applyFill="1" applyAlignment="1">
      <alignment horizontal="center"/>
      <protection/>
    </xf>
    <xf numFmtId="39" fontId="0" fillId="0" borderId="0" xfId="0" applyNumberFormat="1" applyFont="1" applyAlignment="1">
      <alignment/>
    </xf>
    <xf numFmtId="0" fontId="32" fillId="0" borderId="0" xfId="0" applyFont="1" applyAlignment="1">
      <alignment horizontal="center" vertical="top"/>
    </xf>
    <xf numFmtId="0" fontId="0" fillId="0" borderId="34" xfId="0" applyFont="1" applyBorder="1" applyAlignment="1">
      <alignment horizontal="right"/>
    </xf>
    <xf numFmtId="0" fontId="0" fillId="0" borderId="24" xfId="0" applyFont="1" applyBorder="1" applyAlignment="1">
      <alignment horizontal="right"/>
    </xf>
    <xf numFmtId="0" fontId="0" fillId="0" borderId="35" xfId="0" applyFont="1" applyBorder="1" applyAlignment="1">
      <alignment horizontal="right"/>
    </xf>
    <xf numFmtId="198" fontId="0" fillId="0" borderId="12" xfId="0" applyNumberFormat="1" applyFont="1" applyBorder="1" applyAlignment="1">
      <alignment horizontal="right"/>
    </xf>
    <xf numFmtId="176" fontId="0" fillId="0" borderId="24" xfId="0" applyNumberFormat="1" applyFont="1" applyBorder="1" applyAlignment="1">
      <alignment horizontal="right"/>
    </xf>
    <xf numFmtId="200" fontId="0" fillId="0" borderId="12" xfId="0" applyNumberFormat="1" applyFont="1" applyBorder="1" applyAlignment="1">
      <alignment/>
    </xf>
    <xf numFmtId="200" fontId="0" fillId="0" borderId="12" xfId="0" applyNumberFormat="1" applyFont="1" applyBorder="1" applyAlignment="1">
      <alignment horizontal="right"/>
    </xf>
    <xf numFmtId="0" fontId="0" fillId="0" borderId="35" xfId="58" applyFont="1" applyBorder="1" applyAlignment="1">
      <alignment horizontal="center"/>
      <protection/>
    </xf>
    <xf numFmtId="49" fontId="1" fillId="0" borderId="12" xfId="58" applyNumberFormat="1" applyFont="1" applyBorder="1" applyAlignment="1">
      <alignment horizontal="left"/>
      <protection/>
    </xf>
    <xf numFmtId="49" fontId="24" fillId="0" borderId="12" xfId="0" applyNumberFormat="1" applyFont="1" applyBorder="1" applyAlignment="1">
      <alignment horizontal="left"/>
    </xf>
    <xf numFmtId="0" fontId="28" fillId="0" borderId="0" xfId="0" applyFont="1" applyAlignment="1">
      <alignment horizontal="center"/>
    </xf>
    <xf numFmtId="3" fontId="0" fillId="0" borderId="12" xfId="0" applyNumberFormat="1" applyBorder="1" applyAlignment="1">
      <alignment/>
    </xf>
    <xf numFmtId="0" fontId="0" fillId="0" borderId="38" xfId="58" applyFont="1" applyBorder="1" applyAlignment="1" applyProtection="1">
      <alignment horizontal="center"/>
      <protection locked="0"/>
    </xf>
    <xf numFmtId="0" fontId="0" fillId="0" borderId="20" xfId="58" applyFont="1" applyBorder="1" applyAlignment="1">
      <alignment horizontal="left" vertical="top"/>
      <protection/>
    </xf>
    <xf numFmtId="200" fontId="0" fillId="0" borderId="22" xfId="0" applyNumberFormat="1" applyFont="1" applyBorder="1" applyAlignment="1">
      <alignment horizontal="right"/>
    </xf>
    <xf numFmtId="200" fontId="0" fillId="0" borderId="15" xfId="0" applyNumberFormat="1" applyFont="1" applyBorder="1" applyAlignment="1" applyProtection="1">
      <alignment/>
      <protection locked="0"/>
    </xf>
    <xf numFmtId="180" fontId="0" fillId="0" borderId="12" xfId="0" applyNumberFormat="1" applyFont="1" applyBorder="1" applyAlignment="1" applyProtection="1">
      <alignment/>
      <protection locked="0"/>
    </xf>
    <xf numFmtId="0" fontId="0" fillId="0" borderId="0" xfId="0" applyFont="1" applyFill="1" applyAlignment="1">
      <alignment vertical="center"/>
    </xf>
    <xf numFmtId="0" fontId="6" fillId="35" borderId="20" xfId="53" applyFill="1" applyBorder="1" applyAlignment="1" applyProtection="1">
      <alignment/>
      <protection/>
    </xf>
    <xf numFmtId="164" fontId="6" fillId="0" borderId="20" xfId="53" applyNumberFormat="1" applyBorder="1" applyAlignment="1" applyProtection="1">
      <alignment/>
      <protection/>
    </xf>
    <xf numFmtId="0" fontId="6" fillId="0" borderId="21" xfId="53" applyBorder="1" applyAlignment="1" applyProtection="1">
      <alignment/>
      <protection/>
    </xf>
    <xf numFmtId="0" fontId="0" fillId="0" borderId="0" xfId="0" applyFont="1" applyFill="1" applyAlignment="1">
      <alignment horizontal="justify" vertical="top" wrapText="1"/>
    </xf>
    <xf numFmtId="7" fontId="0" fillId="0" borderId="12" xfId="58" applyNumberFormat="1" applyFont="1" applyFill="1" applyBorder="1">
      <alignment/>
      <protection/>
    </xf>
    <xf numFmtId="4" fontId="0" fillId="0" borderId="24" xfId="0" applyNumberFormat="1" applyFont="1" applyFill="1" applyBorder="1" applyAlignment="1">
      <alignment/>
    </xf>
    <xf numFmtId="0" fontId="0" fillId="0" borderId="0" xfId="0" applyFont="1" applyFill="1" applyAlignment="1">
      <alignment horizontal="center"/>
    </xf>
    <xf numFmtId="0" fontId="0" fillId="0" borderId="0" xfId="0" applyBorder="1" applyAlignment="1">
      <alignment/>
    </xf>
    <xf numFmtId="0" fontId="28" fillId="0" borderId="0" xfId="0" applyFont="1" applyAlignment="1">
      <alignment vertical="top" wrapText="1"/>
    </xf>
    <xf numFmtId="0" fontId="23" fillId="0" borderId="0" xfId="0" applyFont="1" applyBorder="1" applyAlignment="1">
      <alignment vertical="top"/>
    </xf>
    <xf numFmtId="172" fontId="0" fillId="0" borderId="0" xfId="58" applyNumberFormat="1" applyFont="1" applyBorder="1" applyAlignment="1">
      <alignment wrapText="1"/>
      <protection/>
    </xf>
    <xf numFmtId="172" fontId="0" fillId="0" borderId="0" xfId="58" applyNumberFormat="1" applyFont="1" applyBorder="1">
      <alignment/>
      <protection/>
    </xf>
    <xf numFmtId="172" fontId="0" fillId="0" borderId="0" xfId="58" applyNumberFormat="1" applyFont="1" applyBorder="1" applyAlignment="1">
      <alignment horizontal="center" wrapText="1"/>
      <protection/>
    </xf>
    <xf numFmtId="49" fontId="0" fillId="0" borderId="0" xfId="0" applyNumberFormat="1" applyFont="1" applyAlignment="1">
      <alignment vertical="top"/>
    </xf>
    <xf numFmtId="172" fontId="0" fillId="0" borderId="0" xfId="58" applyNumberFormat="1" applyFont="1" applyBorder="1" applyAlignment="1">
      <alignment vertical="top" wrapText="1"/>
      <protection/>
    </xf>
    <xf numFmtId="172" fontId="0" fillId="0" borderId="0" xfId="58" applyNumberFormat="1" applyFont="1" applyBorder="1" applyAlignment="1">
      <alignment vertical="top"/>
      <protection/>
    </xf>
    <xf numFmtId="172" fontId="0" fillId="0" borderId="0" xfId="58" applyNumberFormat="1" applyFont="1" applyBorder="1" applyAlignment="1">
      <alignment horizontal="center" vertical="top" wrapText="1"/>
      <protection/>
    </xf>
    <xf numFmtId="172" fontId="0" fillId="0" borderId="0" xfId="58" applyNumberFormat="1" applyFont="1" applyAlignment="1">
      <alignment horizontal="right" vertical="top" wrapText="1"/>
      <protection/>
    </xf>
    <xf numFmtId="172" fontId="0" fillId="0" borderId="0" xfId="58" applyNumberFormat="1" applyFont="1" applyAlignment="1">
      <alignment vertical="top"/>
      <protection/>
    </xf>
    <xf numFmtId="164" fontId="0" fillId="0" borderId="0" xfId="0" applyNumberFormat="1" applyFont="1" applyAlignment="1">
      <alignment vertical="top"/>
    </xf>
    <xf numFmtId="0" fontId="1" fillId="0" borderId="0" xfId="0" applyFont="1" applyAlignment="1">
      <alignment wrapText="1"/>
    </xf>
    <xf numFmtId="0" fontId="0" fillId="0" borderId="0" xfId="0" applyFont="1" applyBorder="1" applyAlignment="1">
      <alignment/>
    </xf>
    <xf numFmtId="166" fontId="0" fillId="0" borderId="24" xfId="0" applyNumberFormat="1" applyFont="1" applyBorder="1" applyAlignment="1">
      <alignment horizontal="right" vertical="top"/>
    </xf>
    <xf numFmtId="0" fontId="0" fillId="0" borderId="11" xfId="0" applyFont="1" applyBorder="1" applyAlignment="1">
      <alignment horizontal="center"/>
    </xf>
    <xf numFmtId="0" fontId="0" fillId="0" borderId="13" xfId="0" applyFont="1" applyBorder="1" applyAlignment="1">
      <alignment horizontal="center"/>
    </xf>
    <xf numFmtId="0" fontId="0" fillId="0" borderId="11" xfId="0" applyFont="1" applyFill="1" applyBorder="1" applyAlignment="1">
      <alignment horizontal="left"/>
    </xf>
    <xf numFmtId="0" fontId="0" fillId="0" borderId="19" xfId="0" applyFont="1" applyBorder="1" applyAlignment="1" quotePrefix="1">
      <alignment/>
    </xf>
    <xf numFmtId="0" fontId="0" fillId="0" borderId="24" xfId="0" applyFont="1" applyBorder="1" applyAlignment="1">
      <alignment vertical="top"/>
    </xf>
    <xf numFmtId="3" fontId="0" fillId="0" borderId="14" xfId="0" applyNumberFormat="1" applyFont="1" applyBorder="1" applyAlignment="1" applyProtection="1" quotePrefix="1">
      <alignment/>
      <protection locked="0"/>
    </xf>
    <xf numFmtId="166" fontId="0" fillId="0" borderId="14" xfId="0" applyNumberFormat="1" applyFont="1" applyBorder="1" applyAlignment="1">
      <alignment horizontal="right" vertical="top"/>
    </xf>
    <xf numFmtId="38" fontId="0" fillId="0" borderId="18" xfId="0" applyNumberFormat="1" applyFont="1" applyBorder="1" applyAlignment="1">
      <alignment/>
    </xf>
    <xf numFmtId="38" fontId="0" fillId="0" borderId="15" xfId="0" applyNumberFormat="1" applyFont="1" applyBorder="1" applyAlignment="1">
      <alignment/>
    </xf>
    <xf numFmtId="0" fontId="15" fillId="0" borderId="0" xfId="53" applyFont="1" applyAlignment="1" applyProtection="1">
      <alignment horizontal="center"/>
      <protection/>
    </xf>
    <xf numFmtId="0" fontId="0" fillId="0" borderId="12" xfId="0" applyBorder="1" applyAlignment="1">
      <alignment/>
    </xf>
    <xf numFmtId="0" fontId="0" fillId="0" borderId="20" xfId="0" applyFont="1" applyBorder="1" applyAlignment="1">
      <alignment horizontal="center"/>
    </xf>
    <xf numFmtId="0" fontId="0" fillId="0" borderId="20" xfId="0" applyBorder="1" applyAlignment="1">
      <alignment horizontal="center"/>
    </xf>
    <xf numFmtId="0" fontId="0" fillId="0" borderId="12" xfId="0" applyBorder="1" applyAlignment="1" applyProtection="1">
      <alignment horizontal="center"/>
      <protection locked="0"/>
    </xf>
    <xf numFmtId="0" fontId="11" fillId="35" borderId="0" xfId="53" applyFont="1" applyFill="1" applyAlignment="1" applyProtection="1">
      <alignment horizontal="left"/>
      <protection/>
    </xf>
    <xf numFmtId="0" fontId="11" fillId="35" borderId="20" xfId="53" applyFont="1" applyFill="1" applyBorder="1" applyAlignment="1" applyProtection="1">
      <alignment horizontal="left"/>
      <protection/>
    </xf>
    <xf numFmtId="0" fontId="28" fillId="0" borderId="0" xfId="0" applyFont="1" applyAlignment="1">
      <alignment horizontal="center"/>
    </xf>
    <xf numFmtId="168" fontId="0" fillId="0" borderId="24" xfId="0" applyNumberFormat="1" applyBorder="1" applyAlignment="1" applyProtection="1">
      <alignment horizontal="left"/>
      <protection locked="0"/>
    </xf>
    <xf numFmtId="0" fontId="0" fillId="0" borderId="0" xfId="0" applyAlignment="1">
      <alignment horizontal="left"/>
    </xf>
    <xf numFmtId="0" fontId="15" fillId="0" borderId="0" xfId="53" applyFont="1" applyAlignment="1" applyProtection="1">
      <alignment horizontal="center"/>
      <protection/>
    </xf>
    <xf numFmtId="0" fontId="15" fillId="0" borderId="15" xfId="53" applyFont="1" applyBorder="1" applyAlignment="1" applyProtection="1">
      <alignment horizontal="center"/>
      <protection/>
    </xf>
    <xf numFmtId="0" fontId="0" fillId="0" borderId="12" xfId="0" applyBorder="1" applyAlignment="1" applyProtection="1">
      <alignment/>
      <protection locked="0"/>
    </xf>
    <xf numFmtId="0" fontId="0" fillId="0" borderId="0" xfId="0" applyAlignment="1">
      <alignment horizontal="center"/>
    </xf>
    <xf numFmtId="0" fontId="0" fillId="0" borderId="0" xfId="0" applyFont="1" applyAlignment="1">
      <alignment horizontal="center"/>
    </xf>
    <xf numFmtId="0" fontId="4" fillId="0" borderId="0" xfId="0" applyFont="1" applyAlignment="1">
      <alignment horizontal="center"/>
    </xf>
    <xf numFmtId="49" fontId="0" fillId="0" borderId="12" xfId="0" applyNumberFormat="1" applyFont="1" applyBorder="1" applyAlignment="1" applyProtection="1">
      <alignment/>
      <protection locked="0"/>
    </xf>
    <xf numFmtId="49" fontId="0" fillId="0" borderId="12" xfId="0" applyNumberFormat="1" applyBorder="1" applyAlignment="1" applyProtection="1">
      <alignment/>
      <protection locked="0"/>
    </xf>
    <xf numFmtId="0" fontId="0" fillId="0" borderId="0" xfId="0" applyFont="1" applyAlignment="1">
      <alignment horizontal="left"/>
    </xf>
    <xf numFmtId="0" fontId="12" fillId="35" borderId="0" xfId="53" applyFont="1" applyFill="1" applyAlignment="1" applyProtection="1">
      <alignment horizontal="right"/>
      <protection/>
    </xf>
    <xf numFmtId="0" fontId="6" fillId="0" borderId="15" xfId="53" applyBorder="1" applyAlignment="1" applyProtection="1">
      <alignment horizontal="center" vertical="center"/>
      <protection/>
    </xf>
    <xf numFmtId="49" fontId="0" fillId="0" borderId="12" xfId="0" applyNumberFormat="1" applyFont="1" applyBorder="1" applyAlignment="1" applyProtection="1">
      <alignment horizontal="center"/>
      <protection locked="0"/>
    </xf>
    <xf numFmtId="49" fontId="0" fillId="0" borderId="12" xfId="0" applyNumberFormat="1" applyBorder="1" applyAlignment="1" applyProtection="1">
      <alignment horizontal="center"/>
      <protection locked="0"/>
    </xf>
    <xf numFmtId="0" fontId="0" fillId="0" borderId="12"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24" xfId="0" applyBorder="1" applyAlignment="1" applyProtection="1">
      <alignment horizontal="left"/>
      <protection locked="0"/>
    </xf>
    <xf numFmtId="0" fontId="33" fillId="0" borderId="0" xfId="0" applyFont="1" applyAlignment="1">
      <alignment horizontal="center" vertical="center" wrapText="1"/>
    </xf>
    <xf numFmtId="0" fontId="1" fillId="0" borderId="0" xfId="0" applyFont="1" applyAlignment="1">
      <alignment horizontal="left"/>
    </xf>
    <xf numFmtId="0" fontId="0" fillId="0" borderId="12" xfId="0" applyFont="1" applyBorder="1" applyAlignment="1" applyProtection="1">
      <alignment/>
      <protection locked="0"/>
    </xf>
    <xf numFmtId="168" fontId="0" fillId="0" borderId="12" xfId="0" applyNumberFormat="1" applyBorder="1" applyAlignment="1" applyProtection="1">
      <alignment horizontal="left"/>
      <protection locked="0"/>
    </xf>
    <xf numFmtId="0" fontId="17" fillId="0" borderId="20" xfId="0" applyFont="1" applyBorder="1" applyAlignment="1">
      <alignment horizontal="center"/>
    </xf>
    <xf numFmtId="0" fontId="11" fillId="35" borderId="0" xfId="53" applyFont="1" applyFill="1" applyAlignment="1" applyProtection="1">
      <alignment horizontal="center"/>
      <protection/>
    </xf>
    <xf numFmtId="0" fontId="11" fillId="35" borderId="20" xfId="53" applyFont="1" applyFill="1" applyBorder="1" applyAlignment="1" applyProtection="1">
      <alignment horizontal="center"/>
      <protection/>
    </xf>
    <xf numFmtId="0" fontId="0" fillId="0" borderId="0" xfId="0" applyFont="1" applyAlignment="1">
      <alignment horizontal="left"/>
    </xf>
    <xf numFmtId="197" fontId="0" fillId="0" borderId="12" xfId="0" applyNumberFormat="1" applyBorder="1" applyAlignment="1" applyProtection="1">
      <alignment horizontal="center"/>
      <protection locked="0"/>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0" fillId="0" borderId="10" xfId="0" applyFont="1" applyBorder="1" applyAlignment="1" applyProtection="1" quotePrefix="1">
      <alignment horizontal="left" vertical="top" wrapText="1"/>
      <protection locked="0"/>
    </xf>
    <xf numFmtId="0" fontId="0" fillId="0" borderId="20" xfId="0" applyFont="1" applyBorder="1" applyAlignment="1" applyProtection="1" quotePrefix="1">
      <alignment horizontal="left" vertical="top" wrapText="1"/>
      <protection locked="0"/>
    </xf>
    <xf numFmtId="0" fontId="0" fillId="0" borderId="18" xfId="0" applyFont="1" applyBorder="1" applyAlignment="1" applyProtection="1" quotePrefix="1">
      <alignment horizontal="left" vertical="top" wrapText="1"/>
      <protection locked="0"/>
    </xf>
    <xf numFmtId="0" fontId="0" fillId="0" borderId="11" xfId="0" applyFont="1" applyBorder="1" applyAlignment="1" applyProtection="1" quotePrefix="1">
      <alignment horizontal="left" vertical="top" wrapText="1"/>
      <protection locked="0"/>
    </xf>
    <xf numFmtId="0" fontId="0" fillId="0" borderId="0" xfId="0" applyFont="1" applyBorder="1" applyAlignment="1" applyProtection="1" quotePrefix="1">
      <alignment horizontal="left" vertical="top" wrapText="1"/>
      <protection locked="0"/>
    </xf>
    <xf numFmtId="0" fontId="0" fillId="0" borderId="15" xfId="0" applyFont="1" applyBorder="1" applyAlignment="1" applyProtection="1" quotePrefix="1">
      <alignment horizontal="left" vertical="top" wrapText="1"/>
      <protection locked="0"/>
    </xf>
    <xf numFmtId="0" fontId="0" fillId="0" borderId="22" xfId="0" applyFont="1" applyBorder="1" applyAlignment="1" applyProtection="1" quotePrefix="1">
      <alignment horizontal="left" vertical="top" wrapText="1"/>
      <protection locked="0"/>
    </xf>
    <xf numFmtId="0" fontId="0" fillId="0" borderId="12" xfId="0" applyFont="1" applyBorder="1" applyAlignment="1" applyProtection="1" quotePrefix="1">
      <alignment horizontal="left" vertical="top" wrapText="1"/>
      <protection locked="0"/>
    </xf>
    <xf numFmtId="0" fontId="0" fillId="0" borderId="17" xfId="0" applyFont="1" applyBorder="1" applyAlignment="1" applyProtection="1" quotePrefix="1">
      <alignment horizontal="left" vertical="top" wrapText="1"/>
      <protection locked="0"/>
    </xf>
    <xf numFmtId="164" fontId="0" fillId="0" borderId="0" xfId="0" applyNumberFormat="1" applyFont="1" applyAlignment="1">
      <alignment/>
    </xf>
    <xf numFmtId="164" fontId="0" fillId="0" borderId="0" xfId="0" applyNumberFormat="1" applyAlignment="1">
      <alignment/>
    </xf>
    <xf numFmtId="0" fontId="0" fillId="0" borderId="0" xfId="0" applyFont="1" applyAlignment="1">
      <alignment horizontal="left" vertical="center"/>
    </xf>
    <xf numFmtId="0" fontId="0" fillId="0" borderId="15" xfId="0" applyFont="1" applyBorder="1" applyAlignment="1">
      <alignment horizontal="left" vertical="center"/>
    </xf>
    <xf numFmtId="0" fontId="16" fillId="0" borderId="0" xfId="0" applyFont="1" applyAlignment="1">
      <alignment horizontal="left" vertical="center"/>
    </xf>
    <xf numFmtId="49" fontId="0" fillId="0" borderId="12" xfId="0" applyNumberFormat="1" applyBorder="1" applyAlignment="1">
      <alignment horizontal="left" vertical="top"/>
    </xf>
    <xf numFmtId="49" fontId="12" fillId="35" borderId="0" xfId="53" applyNumberFormat="1" applyFont="1" applyFill="1" applyAlignment="1" applyProtection="1">
      <alignment horizontal="center" vertical="top"/>
      <protection/>
    </xf>
    <xf numFmtId="0" fontId="0" fillId="0" borderId="19"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5" xfId="0" applyBorder="1" applyAlignment="1">
      <alignment horizontal="left"/>
    </xf>
    <xf numFmtId="0" fontId="0" fillId="0" borderId="19" xfId="0" applyBorder="1" applyAlignment="1" applyProtection="1">
      <alignment horizontal="left"/>
      <protection locked="0"/>
    </xf>
    <xf numFmtId="0" fontId="0" fillId="0" borderId="16" xfId="0" applyBorder="1" applyAlignment="1" applyProtection="1">
      <alignment horizontal="left"/>
      <protection locked="0"/>
    </xf>
    <xf numFmtId="0" fontId="0" fillId="0" borderId="12" xfId="0" applyBorder="1" applyAlignment="1">
      <alignment horizontal="center"/>
    </xf>
    <xf numFmtId="49" fontId="0" fillId="0" borderId="12" xfId="0" applyNumberFormat="1" applyFont="1" applyBorder="1" applyAlignment="1">
      <alignment horizontal="left"/>
    </xf>
    <xf numFmtId="49" fontId="0" fillId="0" borderId="12" xfId="0" applyNumberFormat="1" applyFont="1" applyBorder="1" applyAlignment="1">
      <alignment horizontal="center"/>
    </xf>
    <xf numFmtId="0" fontId="0" fillId="0" borderId="12" xfId="0" applyFont="1" applyBorder="1" applyAlignment="1">
      <alignment horizontal="center"/>
    </xf>
    <xf numFmtId="0" fontId="6" fillId="0" borderId="0" xfId="53" applyAlignment="1" applyProtection="1">
      <alignment horizontal="center" vertical="center"/>
      <protection/>
    </xf>
    <xf numFmtId="0" fontId="13" fillId="0" borderId="0" xfId="53" applyFont="1" applyAlignment="1" applyProtection="1">
      <alignment horizontal="center" vertical="center"/>
      <protection/>
    </xf>
    <xf numFmtId="49" fontId="0" fillId="0" borderId="12" xfId="0" applyNumberFormat="1" applyBorder="1" applyAlignment="1">
      <alignment horizontal="left"/>
    </xf>
    <xf numFmtId="0" fontId="0" fillId="0" borderId="12" xfId="0" applyBorder="1" applyAlignment="1">
      <alignment horizontal="left"/>
    </xf>
    <xf numFmtId="49" fontId="0" fillId="0" borderId="12" xfId="0" applyNumberFormat="1" applyBorder="1" applyAlignment="1">
      <alignment horizontal="center"/>
    </xf>
    <xf numFmtId="0" fontId="0" fillId="0" borderId="0" xfId="0" applyFont="1" applyAlignment="1">
      <alignment horizontal="left" vertical="top" wrapText="1"/>
    </xf>
    <xf numFmtId="0" fontId="0" fillId="0" borderId="15" xfId="0" applyBorder="1" applyAlignment="1">
      <alignment horizontal="left" vertical="top" wrapText="1"/>
    </xf>
    <xf numFmtId="0" fontId="0" fillId="0" borderId="14" xfId="0" applyFont="1" applyBorder="1" applyAlignment="1">
      <alignment horizontal="center" wrapText="1"/>
    </xf>
    <xf numFmtId="0" fontId="0" fillId="0" borderId="19" xfId="0" applyFont="1" applyBorder="1" applyAlignment="1">
      <alignment horizontal="center"/>
    </xf>
    <xf numFmtId="0" fontId="0" fillId="0" borderId="16" xfId="0" applyFont="1" applyBorder="1" applyAlignment="1">
      <alignment horizontal="center"/>
    </xf>
    <xf numFmtId="0" fontId="6" fillId="0" borderId="20" xfId="53" applyBorder="1" applyAlignment="1" applyProtection="1">
      <alignment horizontal="center" vertical="center"/>
      <protection/>
    </xf>
    <xf numFmtId="0" fontId="0" fillId="0" borderId="12" xfId="0" applyFont="1" applyBorder="1" applyAlignment="1">
      <alignment horizontal="left"/>
    </xf>
    <xf numFmtId="0" fontId="24" fillId="0" borderId="19" xfId="0" applyFont="1" applyBorder="1" applyAlignment="1">
      <alignment horizontal="center"/>
    </xf>
    <xf numFmtId="0" fontId="24" fillId="0" borderId="24" xfId="0" applyFont="1" applyBorder="1" applyAlignment="1">
      <alignment horizontal="center"/>
    </xf>
    <xf numFmtId="0" fontId="24" fillId="0" borderId="16" xfId="0" applyFont="1" applyBorder="1" applyAlignment="1">
      <alignment horizontal="center"/>
    </xf>
    <xf numFmtId="0" fontId="24" fillId="0" borderId="14" xfId="0" applyFont="1" applyBorder="1" applyAlignment="1">
      <alignment horizontal="center"/>
    </xf>
    <xf numFmtId="0" fontId="23" fillId="0" borderId="22" xfId="0" applyFont="1" applyBorder="1" applyAlignment="1">
      <alignment horizontal="left"/>
    </xf>
    <xf numFmtId="0" fontId="23" fillId="0" borderId="12" xfId="0" applyFont="1" applyBorder="1" applyAlignment="1">
      <alignment horizontal="left"/>
    </xf>
    <xf numFmtId="0" fontId="23" fillId="0" borderId="10"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0" xfId="0" applyFont="1" applyAlignment="1">
      <alignment horizontal="center" vertical="center" wrapText="1"/>
    </xf>
    <xf numFmtId="0" fontId="23" fillId="0" borderId="15"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0" xfId="0" applyFont="1" applyBorder="1" applyAlignment="1">
      <alignment horizontal="center"/>
    </xf>
    <xf numFmtId="0" fontId="23" fillId="0" borderId="18" xfId="0" applyFont="1" applyBorder="1" applyAlignment="1">
      <alignment horizontal="center"/>
    </xf>
    <xf numFmtId="0" fontId="23" fillId="0" borderId="19" xfId="0" applyFont="1" applyBorder="1" applyAlignment="1">
      <alignment horizontal="center"/>
    </xf>
    <xf numFmtId="0" fontId="23" fillId="0" borderId="16" xfId="0" applyFont="1" applyBorder="1" applyAlignment="1">
      <alignment horizontal="center"/>
    </xf>
    <xf numFmtId="0" fontId="23" fillId="0" borderId="10" xfId="0" applyFont="1" applyBorder="1" applyAlignment="1">
      <alignment horizontal="left" vertical="top" wrapText="1"/>
    </xf>
    <xf numFmtId="0" fontId="23" fillId="0" borderId="20" xfId="0" applyFont="1" applyBorder="1" applyAlignment="1">
      <alignment horizontal="left" vertical="top" wrapText="1"/>
    </xf>
    <xf numFmtId="0" fontId="23" fillId="0" borderId="18" xfId="0" applyFont="1" applyBorder="1" applyAlignment="1">
      <alignment horizontal="left" vertical="top" wrapText="1"/>
    </xf>
    <xf numFmtId="0" fontId="23" fillId="0" borderId="11" xfId="0" applyFont="1" applyBorder="1" applyAlignment="1">
      <alignment horizontal="left" vertical="top" wrapText="1"/>
    </xf>
    <xf numFmtId="0" fontId="23" fillId="0" borderId="0" xfId="0" applyFont="1" applyBorder="1" applyAlignment="1">
      <alignment horizontal="left" vertical="top" wrapText="1"/>
    </xf>
    <xf numFmtId="0" fontId="23" fillId="0" borderId="15" xfId="0" applyFont="1" applyBorder="1" applyAlignment="1">
      <alignment horizontal="left" vertical="top" wrapText="1"/>
    </xf>
    <xf numFmtId="0" fontId="23" fillId="0" borderId="22" xfId="0" applyFont="1" applyBorder="1" applyAlignment="1">
      <alignment horizontal="left" vertical="top" wrapText="1"/>
    </xf>
    <xf numFmtId="0" fontId="23" fillId="0" borderId="12" xfId="0" applyFont="1" applyBorder="1" applyAlignment="1">
      <alignment horizontal="left" vertical="top" wrapText="1"/>
    </xf>
    <xf numFmtId="0" fontId="23" fillId="0" borderId="17" xfId="0" applyFont="1" applyBorder="1" applyAlignment="1">
      <alignment horizontal="left" vertical="top" wrapText="1"/>
    </xf>
    <xf numFmtId="0" fontId="28" fillId="0" borderId="0" xfId="0" applyFont="1" applyAlignment="1">
      <alignment horizontal="center" vertical="top" wrapText="1"/>
    </xf>
    <xf numFmtId="0" fontId="0" fillId="0" borderId="14" xfId="0" applyFont="1" applyBorder="1" applyAlignment="1">
      <alignment horizontal="left"/>
    </xf>
    <xf numFmtId="0" fontId="23" fillId="0" borderId="14" xfId="0" applyFont="1" applyBorder="1" applyAlignment="1">
      <alignment horizontal="left"/>
    </xf>
    <xf numFmtId="38" fontId="23" fillId="0" borderId="19" xfId="0" applyNumberFormat="1" applyFont="1" applyBorder="1" applyAlignment="1">
      <alignment horizontal="center"/>
    </xf>
    <xf numFmtId="38" fontId="23" fillId="0" borderId="16" xfId="0" applyNumberFormat="1" applyFont="1" applyBorder="1" applyAlignment="1">
      <alignment horizontal="center"/>
    </xf>
    <xf numFmtId="0" fontId="0" fillId="37" borderId="0" xfId="0" applyFont="1" applyFill="1" applyAlignment="1">
      <alignment horizontal="left" vertical="top" wrapText="1"/>
    </xf>
    <xf numFmtId="0" fontId="0" fillId="37" borderId="0" xfId="0" applyFill="1" applyAlignment="1">
      <alignment horizontal="left" vertical="top" wrapText="1"/>
    </xf>
    <xf numFmtId="0" fontId="0" fillId="37" borderId="0" xfId="53" applyFont="1" applyFill="1" applyAlignment="1" applyProtection="1">
      <alignment horizontal="left" vertical="top" wrapText="1"/>
      <protection/>
    </xf>
    <xf numFmtId="200" fontId="0" fillId="0" borderId="12" xfId="0" applyNumberFormat="1" applyFont="1" applyBorder="1" applyAlignment="1" applyProtection="1">
      <alignment/>
      <protection locked="0"/>
    </xf>
    <xf numFmtId="200" fontId="0" fillId="0" borderId="17" xfId="0" applyNumberFormat="1" applyFont="1" applyBorder="1" applyAlignment="1" applyProtection="1">
      <alignment/>
      <protection locked="0"/>
    </xf>
    <xf numFmtId="200" fontId="0" fillId="0" borderId="24" xfId="0" applyNumberFormat="1" applyFont="1" applyBorder="1" applyAlignment="1" applyProtection="1">
      <alignment/>
      <protection locked="0"/>
    </xf>
    <xf numFmtId="200" fontId="0" fillId="0" borderId="16" xfId="0" applyNumberFormat="1" applyFont="1" applyBorder="1" applyAlignment="1" applyProtection="1">
      <alignment/>
      <protection locked="0"/>
    </xf>
    <xf numFmtId="172" fontId="0" fillId="0" borderId="19" xfId="58" applyNumberFormat="1" applyFont="1" applyBorder="1" applyAlignment="1" applyProtection="1">
      <alignment horizontal="center"/>
      <protection locked="0"/>
    </xf>
    <xf numFmtId="172" fontId="0" fillId="0" borderId="16" xfId="58" applyNumberFormat="1" applyFont="1" applyBorder="1" applyAlignment="1" applyProtection="1">
      <alignment horizontal="center"/>
      <protection locked="0"/>
    </xf>
    <xf numFmtId="0" fontId="0" fillId="36" borderId="19" xfId="0" applyFont="1" applyFill="1" applyBorder="1" applyAlignment="1">
      <alignment horizontal="center"/>
    </xf>
    <xf numFmtId="0" fontId="0" fillId="36" borderId="16" xfId="0" applyFont="1" applyFill="1" applyBorder="1" applyAlignment="1">
      <alignment horizontal="center"/>
    </xf>
    <xf numFmtId="0" fontId="0" fillId="0" borderId="0" xfId="58" applyFont="1" applyAlignment="1">
      <alignment horizontal="left" vertical="top" wrapText="1"/>
      <protection/>
    </xf>
    <xf numFmtId="200" fontId="0" fillId="0" borderId="12" xfId="0" applyNumberFormat="1" applyFont="1" applyBorder="1" applyAlignment="1" applyProtection="1">
      <alignment horizontal="right"/>
      <protection locked="0"/>
    </xf>
    <xf numFmtId="200" fontId="0" fillId="0" borderId="17" xfId="0" applyNumberFormat="1" applyFont="1" applyBorder="1" applyAlignment="1" applyProtection="1">
      <alignment horizontal="right"/>
      <protection locked="0"/>
    </xf>
    <xf numFmtId="200" fontId="0" fillId="0" borderId="24" xfId="0" applyNumberFormat="1" applyFont="1" applyBorder="1" applyAlignment="1" applyProtection="1">
      <alignment horizontal="right"/>
      <protection locked="0"/>
    </xf>
    <xf numFmtId="200" fontId="0" fillId="0" borderId="16" xfId="0" applyNumberFormat="1" applyFont="1" applyBorder="1" applyAlignment="1" applyProtection="1">
      <alignment horizontal="right"/>
      <protection locked="0"/>
    </xf>
    <xf numFmtId="172" fontId="0" fillId="0" borderId="19" xfId="58" applyNumberFormat="1" applyFont="1" applyBorder="1" applyAlignment="1">
      <alignment horizontal="center" wrapText="1"/>
      <protection/>
    </xf>
    <xf numFmtId="172" fontId="0" fillId="0" borderId="16" xfId="58" applyNumberFormat="1" applyFont="1" applyBorder="1" applyAlignment="1">
      <alignment horizontal="center" wrapText="1"/>
      <protection/>
    </xf>
    <xf numFmtId="200" fontId="0" fillId="0" borderId="22" xfId="0" applyNumberFormat="1" applyFont="1" applyBorder="1" applyAlignment="1" applyProtection="1">
      <alignment horizontal="right"/>
      <protection locked="0"/>
    </xf>
    <xf numFmtId="49" fontId="0" fillId="0" borderId="19" xfId="0" applyNumberFormat="1" applyFont="1" applyBorder="1" applyAlignment="1">
      <alignment horizontal="center"/>
    </xf>
    <xf numFmtId="49" fontId="0" fillId="0" borderId="24" xfId="0" applyNumberFormat="1" applyFont="1" applyBorder="1" applyAlignment="1">
      <alignment horizontal="center"/>
    </xf>
    <xf numFmtId="49" fontId="0" fillId="0" borderId="16" xfId="0" applyNumberFormat="1" applyFont="1" applyBorder="1" applyAlignment="1">
      <alignment horizontal="center"/>
    </xf>
    <xf numFmtId="0" fontId="0" fillId="0" borderId="19" xfId="0" applyFont="1" applyBorder="1" applyAlignment="1">
      <alignment horizontal="center"/>
    </xf>
    <xf numFmtId="0" fontId="0" fillId="0" borderId="16" xfId="0" applyFont="1" applyBorder="1" applyAlignment="1">
      <alignment horizontal="center"/>
    </xf>
    <xf numFmtId="200" fontId="0" fillId="0" borderId="24" xfId="0" applyNumberFormat="1" applyFont="1" applyBorder="1" applyAlignment="1">
      <alignment/>
    </xf>
    <xf numFmtId="200" fontId="0" fillId="0" borderId="16" xfId="0" applyNumberFormat="1" applyFont="1" applyBorder="1" applyAlignment="1">
      <alignment/>
    </xf>
    <xf numFmtId="0" fontId="0" fillId="0" borderId="14" xfId="0" applyBorder="1" applyAlignment="1">
      <alignment/>
    </xf>
    <xf numFmtId="200" fontId="0" fillId="0" borderId="24" xfId="0" applyNumberFormat="1" applyFont="1" applyBorder="1" applyAlignment="1">
      <alignment horizontal="right"/>
    </xf>
    <xf numFmtId="200" fontId="0" fillId="0" borderId="16" xfId="0" applyNumberFormat="1" applyFont="1" applyBorder="1" applyAlignment="1">
      <alignment horizontal="right"/>
    </xf>
    <xf numFmtId="0" fontId="0" fillId="0" borderId="19" xfId="58" applyFont="1" applyBorder="1" applyAlignment="1">
      <alignment horizontal="center" wrapText="1"/>
      <protection/>
    </xf>
    <xf numFmtId="0" fontId="0" fillId="0" borderId="16" xfId="58" applyFont="1" applyBorder="1" applyAlignment="1">
      <alignment horizontal="center" wrapText="1"/>
      <protection/>
    </xf>
    <xf numFmtId="0" fontId="0" fillId="0" borderId="24" xfId="0" applyFont="1" applyBorder="1" applyAlignment="1">
      <alignment horizontal="center"/>
    </xf>
    <xf numFmtId="0" fontId="0" fillId="0" borderId="19" xfId="0" applyFont="1" applyBorder="1" applyAlignment="1">
      <alignment horizontal="left" vertical="top"/>
    </xf>
    <xf numFmtId="0" fontId="0" fillId="0" borderId="24" xfId="0" applyFont="1" applyBorder="1" applyAlignment="1">
      <alignment horizontal="left" vertical="top"/>
    </xf>
    <xf numFmtId="0" fontId="0" fillId="0" borderId="16" xfId="0" applyFont="1" applyBorder="1" applyAlignment="1">
      <alignment horizontal="left" vertical="top"/>
    </xf>
    <xf numFmtId="0" fontId="0" fillId="0" borderId="0" xfId="0" applyFont="1" applyAlignment="1">
      <alignment horizontal="left" vertical="center" wrapText="1"/>
    </xf>
    <xf numFmtId="0" fontId="0" fillId="0" borderId="19" xfId="0" applyFont="1" applyBorder="1" applyAlignment="1">
      <alignment horizontal="left"/>
    </xf>
    <xf numFmtId="0" fontId="0" fillId="0" borderId="24" xfId="0" applyFont="1" applyBorder="1" applyAlignment="1">
      <alignment horizontal="left"/>
    </xf>
    <xf numFmtId="0" fontId="0" fillId="0" borderId="16" xfId="0" applyFont="1" applyBorder="1" applyAlignment="1">
      <alignment horizontal="left"/>
    </xf>
    <xf numFmtId="0" fontId="0" fillId="0" borderId="22" xfId="0" applyFont="1" applyBorder="1" applyAlignment="1">
      <alignment/>
    </xf>
    <xf numFmtId="0" fontId="0" fillId="0" borderId="12" xfId="0" applyFont="1" applyBorder="1" applyAlignment="1">
      <alignment/>
    </xf>
    <xf numFmtId="0" fontId="0" fillId="0" borderId="17" xfId="0" applyFont="1" applyBorder="1" applyAlignment="1">
      <alignment/>
    </xf>
    <xf numFmtId="0" fontId="20" fillId="32" borderId="0" xfId="58" applyFont="1" applyFill="1" applyAlignment="1">
      <alignment horizontal="center"/>
      <protection/>
    </xf>
    <xf numFmtId="0" fontId="0" fillId="37" borderId="0" xfId="58" applyFont="1" applyFill="1" applyAlignment="1">
      <alignment horizontal="left" vertical="top" wrapText="1"/>
      <protection/>
    </xf>
    <xf numFmtId="0" fontId="1" fillId="0" borderId="0" xfId="58" applyFont="1" applyAlignment="1">
      <alignment horizontal="right"/>
      <protection/>
    </xf>
    <xf numFmtId="49" fontId="1" fillId="0" borderId="12" xfId="58" applyNumberFormat="1" applyFont="1" applyBorder="1" applyAlignment="1">
      <alignment horizontal="left"/>
      <protection/>
    </xf>
    <xf numFmtId="0" fontId="1" fillId="0" borderId="12" xfId="58" applyFont="1" applyBorder="1" applyAlignment="1">
      <alignment horizontal="left"/>
      <protection/>
    </xf>
    <xf numFmtId="0" fontId="0" fillId="37" borderId="0" xfId="0" applyFont="1" applyFill="1" applyAlignment="1">
      <alignment horizontal="left" wrapText="1"/>
    </xf>
    <xf numFmtId="0" fontId="0" fillId="0" borderId="0" xfId="58" applyFont="1" applyAlignment="1">
      <alignment horizontal="center"/>
      <protection/>
    </xf>
    <xf numFmtId="0" fontId="22" fillId="0" borderId="0" xfId="59" applyFill="1" applyAlignment="1">
      <alignment horizontal="center" vertical="center" wrapText="1"/>
      <protection/>
    </xf>
    <xf numFmtId="164" fontId="0" fillId="37" borderId="0" xfId="58" applyNumberFormat="1" applyFont="1" applyFill="1" applyAlignment="1">
      <alignment horizontal="left" wrapText="1"/>
      <protection/>
    </xf>
    <xf numFmtId="49" fontId="1" fillId="0" borderId="12" xfId="58" applyNumberFormat="1" applyFont="1" applyBorder="1" applyAlignment="1">
      <alignment horizontal="center"/>
      <protection/>
    </xf>
    <xf numFmtId="0" fontId="1" fillId="0" borderId="12" xfId="58" applyFont="1" applyBorder="1" applyAlignment="1">
      <alignment horizontal="center"/>
      <protection/>
    </xf>
    <xf numFmtId="0" fontId="1" fillId="0" borderId="0" xfId="58" applyFont="1" applyAlignment="1">
      <alignment horizontal="center"/>
      <protection/>
    </xf>
    <xf numFmtId="49" fontId="0" fillId="0" borderId="12" xfId="58" applyNumberFormat="1" applyFont="1" applyBorder="1" applyAlignment="1">
      <alignment horizontal="left"/>
      <protection/>
    </xf>
    <xf numFmtId="49" fontId="0" fillId="0" borderId="12" xfId="58" applyNumberFormat="1" applyFont="1"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Worksheet C"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Gen" /></Relationships>
</file>

<file path=xl/drawings/_rels/drawing2.xml.rels><?xml version="1.0" encoding="utf-8" standalone="yes"?><Relationships xmlns="http://schemas.openxmlformats.org/package/2006/relationships"><Relationship Id="rId1" Type="http://schemas.openxmlformats.org/officeDocument/2006/relationships/hyperlink" Target="#CharterContactInfo" /></Relationships>
</file>

<file path=xl/drawings/_rels/drawing3.xml.rels><?xml version="1.0" encoding="utf-8" standalone="yes"?><Relationships xmlns="http://schemas.openxmlformats.org/package/2006/relationships"><Relationship Id="rId1" Type="http://schemas.openxmlformats.org/officeDocument/2006/relationships/hyperlink" Target="#Pg1General" /></Relationships>
</file>

<file path=xl/drawings/_rels/drawing4.xml.rels><?xml version="1.0" encoding="utf-8" standalone="yes"?><Relationships xmlns="http://schemas.openxmlformats.org/package/2006/relationships"><Relationship Id="rId1" Type="http://schemas.openxmlformats.org/officeDocument/2006/relationships/hyperlink" Target="#TotalFederalAndStateProjects" /></Relationships>
</file>

<file path=xl/drawings/_rels/drawing5.xml.rels><?xml version="1.0" encoding="utf-8" standalone="yes"?><Relationships xmlns="http://schemas.openxmlformats.org/package/2006/relationships"><Relationship Id="rId1" Type="http://schemas.openxmlformats.org/officeDocument/2006/relationships/hyperlink" Target="#Pg3ClassroomSiteProj" /></Relationships>
</file>

<file path=xl/drawings/_rels/drawing6.xml.rels><?xml version="1.0" encoding="utf-8" standalone="yes"?><Relationships xmlns="http://schemas.openxmlformats.org/package/2006/relationships"><Relationship Id="rId1" Type="http://schemas.openxmlformats.org/officeDocument/2006/relationships/hyperlink" Target="#Pg4EnglishLanguageLearnerProj" /></Relationships>
</file>

<file path=xl/drawings/_rels/drawing7.xml.rels><?xml version="1.0" encoding="utf-8" standalone="yes"?><Relationships xmlns="http://schemas.openxmlformats.org/package/2006/relationships"><Relationship Id="rId1" Type="http://schemas.openxmlformats.org/officeDocument/2006/relationships/hyperlink" Target="#BudgetSummary"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0</xdr:rowOff>
    </xdr:from>
    <xdr:to>
      <xdr:col>10</xdr:col>
      <xdr:colOff>0</xdr:colOff>
      <xdr:row>9</xdr:row>
      <xdr:rowOff>0</xdr:rowOff>
    </xdr:to>
    <xdr:sp>
      <xdr:nvSpPr>
        <xdr:cNvPr id="1" name="Rectangle 1">
          <a:hlinkClick r:id="rId1"/>
        </xdr:cNvPr>
        <xdr:cNvSpPr>
          <a:spLocks/>
        </xdr:cNvSpPr>
      </xdr:nvSpPr>
      <xdr:spPr>
        <a:xfrm>
          <a:off x="4295775" y="1428750"/>
          <a:ext cx="990600" cy="1619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5</xdr:row>
      <xdr:rowOff>0</xdr:rowOff>
    </xdr:to>
    <xdr:sp>
      <xdr:nvSpPr>
        <xdr:cNvPr id="1" name="Rectangle 1">
          <a:hlinkClick r:id="rId1"/>
        </xdr:cNvPr>
        <xdr:cNvSpPr>
          <a:spLocks/>
        </xdr:cNvSpPr>
      </xdr:nvSpPr>
      <xdr:spPr>
        <a:xfrm>
          <a:off x="0" y="485775"/>
          <a:ext cx="1266825" cy="32385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1447800</xdr:colOff>
      <xdr:row>2</xdr:row>
      <xdr:rowOff>114300</xdr:rowOff>
    </xdr:from>
    <xdr:to>
      <xdr:col>4</xdr:col>
      <xdr:colOff>180975</xdr:colOff>
      <xdr:row>4</xdr:row>
      <xdr:rowOff>114300</xdr:rowOff>
    </xdr:to>
    <xdr:sp>
      <xdr:nvSpPr>
        <xdr:cNvPr id="1" name="Rectangle 4">
          <a:hlinkClick r:id="rId1"/>
        </xdr:cNvPr>
        <xdr:cNvSpPr>
          <a:spLocks/>
        </xdr:cNvSpPr>
      </xdr:nvSpPr>
      <xdr:spPr>
        <a:xfrm>
          <a:off x="2647950" y="314325"/>
          <a:ext cx="923925" cy="3048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0</xdr:rowOff>
    </xdr:from>
    <xdr:to>
      <xdr:col>2</xdr:col>
      <xdr:colOff>409575</xdr:colOff>
      <xdr:row>3</xdr:row>
      <xdr:rowOff>342900</xdr:rowOff>
    </xdr:to>
    <xdr:sp>
      <xdr:nvSpPr>
        <xdr:cNvPr id="1" name="Rectangle 7">
          <a:hlinkClick r:id="rId1"/>
        </xdr:cNvPr>
        <xdr:cNvSpPr>
          <a:spLocks/>
        </xdr:cNvSpPr>
      </xdr:nvSpPr>
      <xdr:spPr>
        <a:xfrm>
          <a:off x="95250" y="419100"/>
          <a:ext cx="1533525" cy="3429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2257425</xdr:colOff>
      <xdr:row>3</xdr:row>
      <xdr:rowOff>66675</xdr:rowOff>
    </xdr:from>
    <xdr:to>
      <xdr:col>3</xdr:col>
      <xdr:colOff>3371850</xdr:colOff>
      <xdr:row>5</xdr:row>
      <xdr:rowOff>38100</xdr:rowOff>
    </xdr:to>
    <xdr:sp>
      <xdr:nvSpPr>
        <xdr:cNvPr id="1" name="Rectangle 5">
          <a:hlinkClick r:id="rId1"/>
        </xdr:cNvPr>
        <xdr:cNvSpPr>
          <a:spLocks/>
        </xdr:cNvSpPr>
      </xdr:nvSpPr>
      <xdr:spPr>
        <a:xfrm>
          <a:off x="3457575" y="400050"/>
          <a:ext cx="1114425" cy="23812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2</xdr:row>
      <xdr:rowOff>76200</xdr:rowOff>
    </xdr:from>
    <xdr:to>
      <xdr:col>4</xdr:col>
      <xdr:colOff>180975</xdr:colOff>
      <xdr:row>4</xdr:row>
      <xdr:rowOff>9525</xdr:rowOff>
    </xdr:to>
    <xdr:sp>
      <xdr:nvSpPr>
        <xdr:cNvPr id="1" name="Rectangle 5">
          <a:hlinkClick r:id="rId1"/>
        </xdr:cNvPr>
        <xdr:cNvSpPr>
          <a:spLocks/>
        </xdr:cNvSpPr>
      </xdr:nvSpPr>
      <xdr:spPr>
        <a:xfrm>
          <a:off x="1981200" y="400050"/>
          <a:ext cx="1190625" cy="257175"/>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76200</xdr:rowOff>
    </xdr:from>
    <xdr:to>
      <xdr:col>2</xdr:col>
      <xdr:colOff>1628775</xdr:colOff>
      <xdr:row>0</xdr:row>
      <xdr:rowOff>266700</xdr:rowOff>
    </xdr:to>
    <xdr:sp>
      <xdr:nvSpPr>
        <xdr:cNvPr id="1" name="Rectangle 2">
          <a:hlinkClick r:id="rId1"/>
        </xdr:cNvPr>
        <xdr:cNvSpPr>
          <a:spLocks/>
        </xdr:cNvSpPr>
      </xdr:nvSpPr>
      <xdr:spPr>
        <a:xfrm>
          <a:off x="0" y="76200"/>
          <a:ext cx="1838325" cy="190500"/>
        </a:xfrm>
        <a:prstGeom prst="rect">
          <a:avLst/>
        </a:prstGeom>
        <a:solidFill>
          <a:srgbClr val="00B0F0"/>
        </a:solidFill>
        <a:ln w="9525" cmpd="sng">
          <a:solidFill>
            <a:srgbClr val="BCBCBC"/>
          </a:solidFill>
          <a:headEnd type="none"/>
          <a:tailEnd type="none"/>
        </a:ln>
      </xdr:spPr>
      <xdr:txBody>
        <a:bodyPr vertOverflow="clip" wrap="square" lIns="18288" tIns="0" rIns="0" bIns="0" anchor="ctr"/>
        <a:p>
          <a:pPr algn="ctr">
            <a:defRPr/>
          </a:pPr>
          <a:r>
            <a:rPr lang="en-US" cap="none" sz="1100" b="0" i="0" u="none" baseline="0">
              <a:solidFill>
                <a:srgbClr val="000000"/>
              </a:solidFill>
            </a:rPr>
            <a:t>Instructions
</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EO\AppData\Local\Temp\Temp1_CSBUD20%20(1).zip\budget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hool%20Districts\USFR%20MEMOs\Pending\FY%202020%20Budget%20Forms%20combination\2020EXPBU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votroubek\AppData\Local\Temp\wzf9bb\Page%205%20ExpBudg%20new.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Charter Contact Info"/>
      <sheetName val="Page 1"/>
      <sheetName val="Page 2"/>
      <sheetName val="Page 3"/>
      <sheetName val="Page 4"/>
      <sheetName val="Budget Summary"/>
      <sheetName val="Instructions"/>
      <sheetName val="budget19"/>
    </sheetNames>
    <definedNames>
      <definedName name="CA0191Land" refersTo="=Page 2!$E$40"/>
      <definedName name="CA0192SiteImprovements" refersTo="=Page 2!$E$41"/>
      <definedName name="CA0194Buildings" refersTo="=Page 2!$E$42"/>
      <definedName name="CA0198CIP" refersTo="=Page 2!$E$44"/>
      <definedName name="CAK3Reading" refersTo="=Page 2!$E$47"/>
      <definedName name="CIP1072P265F1000" refersTo="=Page 4!$N$30"/>
      <definedName name="CIP1072P265F1000PPL" refersTo="=Page 4!$G$30"/>
      <definedName name="CIP1072P265F2100" refersTo="=Page 4!$N$32"/>
      <definedName name="CIP1072P265F2100PPL" refersTo="=Page 4!$G$32"/>
      <definedName name="CIP1072P265F2200" refersTo="=Page 4!$N$33"/>
      <definedName name="CIP1072P265F2200PPL" refersTo="=Page 4!$G$33"/>
      <definedName name="CIP1072P265F2300" refersTo="=Page 4!$N$34"/>
      <definedName name="CIP1072P265F2300PPL" refersTo="=Page 4!$G$34"/>
      <definedName name="CIP1072P265F2400" refersTo="=Page 4!$N$35"/>
      <definedName name="CIP1072P265F2400PPL" refersTo="=Page 4!$G$35"/>
      <definedName name="CIP1072P265F2500" refersTo="=Page 4!$N$36"/>
      <definedName name="CIP1072P265F2500PPL" refersTo="=Page 4!$G$36"/>
      <definedName name="CIP1072P265F2600" refersTo="=Page 4!$N$37"/>
      <definedName name="CIP1072P265F2600PPL" refersTo="=Page 4!$G$37"/>
      <definedName name="CIP1072P265F2900" refersTo="=Page 4!$N$38"/>
      <definedName name="CIP1072P265F2900PPL" refersTo="=Page 4!$G$38"/>
      <definedName name="CIP1072P435F2700" refersTo="=Page 4!$N$42"/>
      <definedName name="CIP1072P435F2700PPL" refersTo="=Page 4!$G$42"/>
      <definedName name="CSP1011P100F2100" refersTo="=Page 3!$K$10"/>
      <definedName name="CSP1011P100F2200" refersTo="=Page 3!$K$11"/>
      <definedName name="CSP1011P200F1000" refersTo="=Page 3!$K$14"/>
      <definedName name="CSP1011P200F2100" refersTo="=Page 3!$K$15"/>
      <definedName name="CSP1011P200F2200" refersTo="=Page 3!$K$16"/>
      <definedName name="CSP1011POtherF1000" refersTo="=Page 3!$K$19"/>
      <definedName name="CSP1011POtherF2100" refersTo="=Page 3!$K$20"/>
      <definedName name="CSP1011POtherF2200" refersTo="=Page 3!$K$21"/>
      <definedName name="CSP1012P100F2100" refersTo="=Page 3!$K$27"/>
      <definedName name="CSP1012P100F2200" refersTo="=Page 3!$K$28"/>
      <definedName name="CSP1012P200F1000" refersTo="=Page 3!$K$31"/>
      <definedName name="CSP1012P200F2100" refersTo="=Page 3!$K$32"/>
      <definedName name="CSP1012P200F2200" refersTo="=Page 3!$K$33"/>
      <definedName name="CSP1012POtherF1000" refersTo="=Page 3!$K$36"/>
      <definedName name="CSP1012POtherF2100" refersTo="=Page 3!$K$37"/>
      <definedName name="CSP1012POtherF2200" refersTo="=Page 3!$K$38"/>
      <definedName name="CSP1013P100F2100" refersTo="=Page 3!$K$44"/>
      <definedName name="CSP1013P100F2200" refersTo="=Page 3!$K$45"/>
      <definedName name="CSP1013P200F1000" refersTo="=Page 3!$K$48"/>
      <definedName name="CSP1013P200F2100" refersTo="=Page 3!$K$49"/>
      <definedName name="CSP1013P200F2200" refersTo="=Page 3!$K$50"/>
      <definedName name="CSP1013P530F1000" refersTo="=Page 3!$K$53"/>
      <definedName name="CSP1013POtherF1000" refersTo="=Page 3!$K$55"/>
      <definedName name="CSP1013POtherF21002200" refersTo="=Page 3!$K$56"/>
      <definedName name="FP11401150TitleII" refersTo="=Page 2!$E$6"/>
      <definedName name="FP1160TitleIV" refersTo="=Page 2!$E$7"/>
      <definedName name="FP11701180TitleV" refersTo="=Page 2!$E$8"/>
      <definedName name="FP1190TitleIII" refersTo="=Page 2!$E$9"/>
      <definedName name="FP1200TitleVII" refersTo="=Page 2!$E$10"/>
      <definedName name="FP1210TitleVI" refersTo="=Page 2!$E$11"/>
      <definedName name="FP1230Johnson" refersTo="=Page 2!$E$13"/>
      <definedName name="FP1240WIA" refersTo="=Page 2!$E$14"/>
      <definedName name="FP1250AEA" refersTo="=Page 2!$E$15"/>
      <definedName name="FP12601270VocEd" refersTo="=Page 2!$E$16"/>
      <definedName name="FP1280TitleX" refersTo="=Page 2!$E$17"/>
      <definedName name="FP1290Medicaid" refersTo="=Page 2!$E$18"/>
      <definedName name="FP13__ImpactAid" refersTo="=Page 2!$E$20"/>
      <definedName name="FP1300Charter" refersTo="=Page 2!$E$19"/>
      <definedName name="FP13101399Other" refersTo="=Page 2!$E$21"/>
      <definedName name="FP1420ExtendedSchool" refersTo="=Page 2!$E$26"/>
      <definedName name="IIPClassSizeReduction" refersTo="=Page 2!$N$19"/>
      <definedName name="IIPInstructionalImprovementPrograms" refersTo="=Page 2!$N$21"/>
      <definedName name="IIPTeacherCompensationIncreases" refersTo="=Page 2!$N$18"/>
      <definedName name="P200CareerEducation" refersTo="=Page 2!$N$11"/>
      <definedName name="P200ELLCompensatoryInstruction" refersTo="=Page 2!$N$8"/>
      <definedName name="P200ELLIncrementalCosts" refersTo="=Page 2!$N$7"/>
      <definedName name="P200GiftedEducation" refersTo="=Page 2!$N$6"/>
      <definedName name="P200RemedialEducation" refersTo="=Page 2!$N$9"/>
      <definedName name="P200VocationalandTechnologicalEd" refersTo="=Page 2!$N$10"/>
      <definedName name="SEIP1071P260F1000" refersTo="=Page 4!$N$9"/>
      <definedName name="SEIP1071P260F1000PPL" refersTo="=Page 4!$G$9"/>
      <definedName name="SEIP1071P260F2100" refersTo="=Page 4!$N$11"/>
      <definedName name="SEIP1071P260F2100PPL" refersTo="=Page 4!$G$11"/>
      <definedName name="SEIP1071P260F2200" refersTo="=Page 4!$N$12"/>
      <definedName name="SEIP1071P260F2200PPL" refersTo="=Page 4!$G$12"/>
      <definedName name="SEIP1071P260F2300" refersTo="=Page 4!$N$13"/>
      <definedName name="SEIP1071P260F2300PPL" refersTo="=Page 4!$G$13"/>
      <definedName name="SEIP1071P260F2400" refersTo="=Page 4!$N$14"/>
      <definedName name="SEIP1071P260F2400PPL" refersTo="=Page 4!$G$14"/>
      <definedName name="SEIP1071P260F2500" refersTo="=Page 4!$N$15"/>
      <definedName name="SEIP1071P260F2500PPL" refersTo="=Page 4!$G$15"/>
      <definedName name="SEIP1071P260F2600" refersTo="=Page 4!$N$16"/>
      <definedName name="SEIP1071P260F2600PPL" refersTo="=Page 4!$G$16"/>
      <definedName name="SEIP1071P260F2900" refersTo="=Page 4!$N$17"/>
      <definedName name="SEIP1071P260F2900PPL" refersTo="=Page 4!$G$17"/>
      <definedName name="SEIP1071P430F2700" refersTo="=Page 4!$N$21"/>
      <definedName name="SEIP1071P430F2700PPL" refersTo="=Page 4!$G$21"/>
      <definedName name="SP1000CompInstrProj" refersTo="=Page 1!$L$47"/>
      <definedName name="SP1000P100F2100" refersTo="=Page 1!$L$10"/>
      <definedName name="SP1000P100F2200" refersTo="=Page 1!$L$11"/>
      <definedName name="SP1000P100F2500" refersTo="=Page 1!$L$14"/>
      <definedName name="SP1000P100F2900" refersTo="=Page 1!$L$16"/>
      <definedName name="SP1000P100F3000" refersTo="=Page 1!$L$17"/>
      <definedName name="SP1000P100F4000" refersTo="=Page 1!$L$18"/>
      <definedName name="SP1000P200F2100" refersTo="=Page 1!$L$27"/>
      <definedName name="SP1000P200F2200" refersTo="=Page 1!$L$28"/>
      <definedName name="SP1000P200F2300" refersTo="=Page 1!$L$29"/>
      <definedName name="SP1000P200F2400" refersTo="=Page 1!$L$30"/>
      <definedName name="SP1000P200F2500" refersTo="=Page 1!$L$31"/>
      <definedName name="SP1000P200F2600" refersTo="=Page 1!$L$32"/>
      <definedName name="SP1000P200F2900" refersTo="=Page 1!$L$33"/>
      <definedName name="SP1000P200F3000" refersTo="=Page 1!$L$34"/>
      <definedName name="SP1000P200F4000" refersTo="=Page 1!$L$35"/>
      <definedName name="SP1000P200F5000" refersTo="=Page 1!$L$36"/>
      <definedName name="SP1000P400" refersTo="=Page 1!$L$39"/>
      <definedName name="SP1000P530" refersTo="=Page 1!$L$40"/>
      <definedName name="SP1000P540" refersTo="=Page 1!$L$41"/>
      <definedName name="SP1000P550" refersTo="=Page 1!$L$42"/>
      <definedName name="SP1000P610" refersTo="=Page 1!$L$20"/>
      <definedName name="SP1000P620" refersTo="=Page 1!$L$21"/>
      <definedName name="SP1000P630700800900" refersTo="=Page 1!$L$22"/>
      <definedName name="SP1000StruEngImmProj" refersTo="=Page 1!$L$46"/>
      <definedName name="SP1400VocEd" refersTo="=Page 2!$E$24"/>
      <definedName name="SP1410EarlyChildhoodBlockGrant" refersTo="=Page 2!$E$25"/>
      <definedName name="SP1425AdultBasicEd" refersTo="=Page 2!$E$27"/>
      <definedName name="SP1430ChemicalAbuse" refersTo="=Page 2!$E$28"/>
      <definedName name="SP1435AcademicContests" refersTo="=Page 2!$E$29"/>
      <definedName name="SP1450GiftedEd" refersTo="=Page 2!$E$30"/>
      <definedName name="SP1460EnvironmentalSpecialPlate" refersTo="=Page 2!$E$33"/>
      <definedName name="SP1465CharterSchool" refersTo="=Page 2!$E$34"/>
      <definedName name="SP14701499Other" refersTo="=Page 2!$E$35"/>
      <definedName name="TotalSEIP" refersTo="=Page 4!$N$22"/>
    </definedNames>
    <sheetDataSet>
      <sheetData sheetId="2">
        <row r="10">
          <cell r="L10">
            <v>0</v>
          </cell>
        </row>
        <row r="11">
          <cell r="L11">
            <v>0</v>
          </cell>
        </row>
        <row r="14">
          <cell r="L14">
            <v>0</v>
          </cell>
        </row>
        <row r="16">
          <cell r="L16">
            <v>0</v>
          </cell>
        </row>
        <row r="17">
          <cell r="L17">
            <v>0</v>
          </cell>
        </row>
        <row r="18">
          <cell r="L18">
            <v>0</v>
          </cell>
        </row>
        <row r="20">
          <cell r="L20">
            <v>0</v>
          </cell>
        </row>
        <row r="21">
          <cell r="L21">
            <v>0</v>
          </cell>
        </row>
        <row r="22">
          <cell r="L22">
            <v>0</v>
          </cell>
        </row>
        <row r="27">
          <cell r="L27">
            <v>0</v>
          </cell>
        </row>
        <row r="28">
          <cell r="L28">
            <v>0</v>
          </cell>
        </row>
        <row r="29">
          <cell r="L29">
            <v>0</v>
          </cell>
        </row>
        <row r="30">
          <cell r="L30">
            <v>0</v>
          </cell>
        </row>
        <row r="31">
          <cell r="L31">
            <v>0</v>
          </cell>
        </row>
        <row r="32">
          <cell r="L32">
            <v>0</v>
          </cell>
        </row>
        <row r="33">
          <cell r="L33">
            <v>0</v>
          </cell>
        </row>
        <row r="34">
          <cell r="L34">
            <v>0</v>
          </cell>
        </row>
        <row r="35">
          <cell r="L35">
            <v>0</v>
          </cell>
        </row>
        <row r="36">
          <cell r="L36">
            <v>0</v>
          </cell>
        </row>
        <row r="39">
          <cell r="L39">
            <v>0</v>
          </cell>
        </row>
        <row r="40">
          <cell r="L40">
            <v>0</v>
          </cell>
        </row>
        <row r="41">
          <cell r="L41">
            <v>0</v>
          </cell>
        </row>
        <row r="42">
          <cell r="L42">
            <v>0</v>
          </cell>
        </row>
        <row r="46">
          <cell r="L46">
            <v>0</v>
          </cell>
        </row>
        <row r="47">
          <cell r="L47">
            <v>0</v>
          </cell>
        </row>
      </sheetData>
      <sheetData sheetId="4">
        <row r="10">
          <cell r="K10">
            <v>0</v>
          </cell>
        </row>
        <row r="11">
          <cell r="K11">
            <v>0</v>
          </cell>
        </row>
        <row r="14">
          <cell r="K14">
            <v>0</v>
          </cell>
        </row>
        <row r="15">
          <cell r="K15">
            <v>0</v>
          </cell>
        </row>
        <row r="16">
          <cell r="K16">
            <v>0</v>
          </cell>
        </row>
        <row r="19">
          <cell r="K19">
            <v>0</v>
          </cell>
        </row>
        <row r="20">
          <cell r="K20">
            <v>0</v>
          </cell>
        </row>
        <row r="21">
          <cell r="K21">
            <v>0</v>
          </cell>
        </row>
        <row r="27">
          <cell r="K27">
            <v>0</v>
          </cell>
        </row>
        <row r="28">
          <cell r="K28">
            <v>0</v>
          </cell>
        </row>
        <row r="31">
          <cell r="K31">
            <v>0</v>
          </cell>
        </row>
        <row r="32">
          <cell r="K32">
            <v>0</v>
          </cell>
        </row>
        <row r="33">
          <cell r="K33">
            <v>0</v>
          </cell>
        </row>
        <row r="36">
          <cell r="K36">
            <v>0</v>
          </cell>
        </row>
        <row r="37">
          <cell r="K37">
            <v>0</v>
          </cell>
        </row>
        <row r="38">
          <cell r="K38">
            <v>0</v>
          </cell>
        </row>
        <row r="44">
          <cell r="K44">
            <v>0</v>
          </cell>
        </row>
        <row r="45">
          <cell r="K45">
            <v>0</v>
          </cell>
        </row>
        <row r="48">
          <cell r="K48">
            <v>0</v>
          </cell>
        </row>
        <row r="49">
          <cell r="K49">
            <v>0</v>
          </cell>
        </row>
        <row r="50">
          <cell r="K50">
            <v>0</v>
          </cell>
        </row>
        <row r="53">
          <cell r="K53">
            <v>0</v>
          </cell>
        </row>
        <row r="55">
          <cell r="K55">
            <v>0</v>
          </cell>
        </row>
        <row r="56">
          <cell r="K56">
            <v>0</v>
          </cell>
        </row>
      </sheetData>
      <sheetData sheetId="5">
        <row r="9">
          <cell r="N9">
            <v>0</v>
          </cell>
        </row>
        <row r="11">
          <cell r="N11">
            <v>0</v>
          </cell>
        </row>
        <row r="12">
          <cell r="N12">
            <v>0</v>
          </cell>
        </row>
        <row r="13">
          <cell r="N13">
            <v>0</v>
          </cell>
        </row>
        <row r="14">
          <cell r="N14">
            <v>0</v>
          </cell>
        </row>
        <row r="15">
          <cell r="N15">
            <v>0</v>
          </cell>
        </row>
        <row r="16">
          <cell r="N16">
            <v>0</v>
          </cell>
        </row>
        <row r="17">
          <cell r="N17">
            <v>0</v>
          </cell>
        </row>
        <row r="21">
          <cell r="N21">
            <v>0</v>
          </cell>
        </row>
        <row r="22">
          <cell r="N22">
            <v>0</v>
          </cell>
        </row>
        <row r="30">
          <cell r="N30">
            <v>0</v>
          </cell>
        </row>
        <row r="32">
          <cell r="N32">
            <v>0</v>
          </cell>
        </row>
        <row r="33">
          <cell r="N33">
            <v>0</v>
          </cell>
        </row>
        <row r="34">
          <cell r="N34">
            <v>0</v>
          </cell>
        </row>
        <row r="35">
          <cell r="N35">
            <v>0</v>
          </cell>
        </row>
        <row r="36">
          <cell r="N36">
            <v>0</v>
          </cell>
        </row>
        <row r="37">
          <cell r="N37">
            <v>0</v>
          </cell>
        </row>
        <row r="38">
          <cell r="N38">
            <v>0</v>
          </cell>
        </row>
        <row r="42">
          <cell r="N4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District Contact Info"/>
      <sheetName val="Page 1"/>
      <sheetName val="Page 2"/>
      <sheetName val="Page 3"/>
      <sheetName val="Page 4"/>
      <sheetName val="Page 5"/>
      <sheetName val="Page 6"/>
      <sheetName val="Page 7"/>
      <sheetName val="Page 8"/>
      <sheetName val="Supplement"/>
      <sheetName val="Summary Page 1"/>
      <sheetName val="Summary Page 2"/>
      <sheetName val="Truth in Tax"/>
      <sheetName val="Data Entry"/>
      <sheetName val="Calculations"/>
      <sheetName val="APOR55"/>
      <sheetName val="Instructions"/>
    </sheetNames>
    <sheetDataSet>
      <sheetData sheetId="0">
        <row r="22">
          <cell r="N22">
            <v>0</v>
          </cell>
          <cell r="Q22">
            <v>0</v>
          </cell>
        </row>
        <row r="31">
          <cell r="S31">
            <v>0</v>
          </cell>
        </row>
        <row r="32">
          <cell r="S32">
            <v>0</v>
          </cell>
        </row>
        <row r="33">
          <cell r="S33">
            <v>0</v>
          </cell>
        </row>
        <row r="34">
          <cell r="S34">
            <v>0</v>
          </cell>
        </row>
      </sheetData>
      <sheetData sheetId="2">
        <row r="34">
          <cell r="L34">
            <v>0</v>
          </cell>
        </row>
        <row r="36">
          <cell r="F36">
            <v>0</v>
          </cell>
          <cell r="G36">
            <v>0</v>
          </cell>
          <cell r="H36">
            <v>0</v>
          </cell>
          <cell r="I36">
            <v>0</v>
          </cell>
          <cell r="J36">
            <v>0</v>
          </cell>
        </row>
        <row r="38">
          <cell r="L38">
            <v>0</v>
          </cell>
        </row>
        <row r="39">
          <cell r="F39">
            <v>0</v>
          </cell>
          <cell r="G39">
            <v>0</v>
          </cell>
          <cell r="H39">
            <v>0</v>
          </cell>
          <cell r="I39">
            <v>0</v>
          </cell>
          <cell r="J39">
            <v>0</v>
          </cell>
          <cell r="L39">
            <v>0</v>
          </cell>
        </row>
        <row r="42">
          <cell r="K42">
            <v>0</v>
          </cell>
          <cell r="L42">
            <v>0</v>
          </cell>
        </row>
      </sheetData>
      <sheetData sheetId="3">
        <row r="7">
          <cell r="F7">
            <v>0</v>
          </cell>
        </row>
        <row r="8">
          <cell r="F8">
            <v>0</v>
          </cell>
        </row>
        <row r="9">
          <cell r="F9">
            <v>0</v>
          </cell>
        </row>
        <row r="10">
          <cell r="F10">
            <v>0</v>
          </cell>
        </row>
        <row r="11">
          <cell r="F11">
            <v>0</v>
          </cell>
        </row>
        <row r="12">
          <cell r="F12">
            <v>0</v>
          </cell>
        </row>
        <row r="13">
          <cell r="F13">
            <v>0</v>
          </cell>
        </row>
      </sheetData>
      <sheetData sheetId="4">
        <row r="22">
          <cell r="J22">
            <v>0</v>
          </cell>
        </row>
        <row r="39">
          <cell r="J39">
            <v>0</v>
          </cell>
        </row>
        <row r="57">
          <cell r="J57">
            <v>0</v>
          </cell>
        </row>
        <row r="58">
          <cell r="I58">
            <v>0</v>
          </cell>
          <cell r="J58">
            <v>0</v>
          </cell>
        </row>
      </sheetData>
      <sheetData sheetId="5">
        <row r="19">
          <cell r="J19">
            <v>0</v>
          </cell>
          <cell r="K19">
            <v>0</v>
          </cell>
        </row>
      </sheetData>
      <sheetData sheetId="6">
        <row r="8">
          <cell r="F8">
            <v>0</v>
          </cell>
          <cell r="H8">
            <v>0</v>
          </cell>
          <cell r="J8">
            <v>0</v>
          </cell>
        </row>
      </sheetData>
      <sheetData sheetId="7">
        <row r="5">
          <cell r="S5">
            <v>0</v>
          </cell>
        </row>
        <row r="8">
          <cell r="S8">
            <v>0</v>
          </cell>
        </row>
        <row r="9">
          <cell r="S9">
            <v>0</v>
          </cell>
        </row>
        <row r="10">
          <cell r="S10">
            <v>0</v>
          </cell>
        </row>
        <row r="11">
          <cell r="S11">
            <v>0</v>
          </cell>
        </row>
        <row r="12">
          <cell r="S12">
            <v>0</v>
          </cell>
        </row>
        <row r="13">
          <cell r="S13">
            <v>0</v>
          </cell>
        </row>
        <row r="14">
          <cell r="S14">
            <v>0</v>
          </cell>
        </row>
        <row r="15">
          <cell r="S15">
            <v>0</v>
          </cell>
        </row>
        <row r="16">
          <cell r="S16">
            <v>0</v>
          </cell>
        </row>
        <row r="17">
          <cell r="S17">
            <v>0</v>
          </cell>
        </row>
        <row r="18">
          <cell r="S18">
            <v>0</v>
          </cell>
        </row>
        <row r="19">
          <cell r="S19">
            <v>0</v>
          </cell>
        </row>
        <row r="20">
          <cell r="S20">
            <v>0</v>
          </cell>
        </row>
        <row r="21">
          <cell r="S21">
            <v>0</v>
          </cell>
        </row>
        <row r="22">
          <cell r="S22">
            <v>0</v>
          </cell>
        </row>
        <row r="23">
          <cell r="S23">
            <v>0</v>
          </cell>
        </row>
        <row r="24">
          <cell r="I24">
            <v>0</v>
          </cell>
          <cell r="J24">
            <v>0</v>
          </cell>
          <cell r="S24">
            <v>0</v>
          </cell>
        </row>
        <row r="25">
          <cell r="S25">
            <v>0</v>
          </cell>
        </row>
        <row r="26">
          <cell r="S26">
            <v>0</v>
          </cell>
        </row>
        <row r="27">
          <cell r="S27">
            <v>0</v>
          </cell>
        </row>
        <row r="28">
          <cell r="S28">
            <v>0</v>
          </cell>
        </row>
        <row r="29">
          <cell r="S29">
            <v>0</v>
          </cell>
        </row>
        <row r="30">
          <cell r="S30">
            <v>0</v>
          </cell>
        </row>
        <row r="31">
          <cell r="S31">
            <v>0</v>
          </cell>
        </row>
        <row r="32">
          <cell r="S32">
            <v>0</v>
          </cell>
        </row>
        <row r="33">
          <cell r="S33">
            <v>0</v>
          </cell>
        </row>
        <row r="34">
          <cell r="S34">
            <v>0</v>
          </cell>
        </row>
        <row r="35">
          <cell r="S35">
            <v>0</v>
          </cell>
        </row>
        <row r="36">
          <cell r="S36">
            <v>0</v>
          </cell>
        </row>
        <row r="37">
          <cell r="I37">
            <v>0</v>
          </cell>
          <cell r="J37">
            <v>0</v>
          </cell>
        </row>
        <row r="38">
          <cell r="S38">
            <v>0</v>
          </cell>
        </row>
        <row r="39">
          <cell r="S39">
            <v>0</v>
          </cell>
        </row>
        <row r="40">
          <cell r="S40">
            <v>0</v>
          </cell>
        </row>
        <row r="41">
          <cell r="S41">
            <v>0</v>
          </cell>
        </row>
        <row r="45">
          <cell r="F45">
            <v>0</v>
          </cell>
          <cell r="H45">
            <v>0</v>
          </cell>
        </row>
      </sheetData>
      <sheetData sheetId="8">
        <row r="56">
          <cell r="J56">
            <v>0</v>
          </cell>
        </row>
        <row r="58">
          <cell r="M58">
            <v>0</v>
          </cell>
        </row>
      </sheetData>
      <sheetData sheetId="9">
        <row r="32">
          <cell r="K32">
            <v>0</v>
          </cell>
        </row>
        <row r="45">
          <cell r="F45">
            <v>0</v>
          </cell>
          <cell r="G45">
            <v>0</v>
          </cell>
          <cell r="H45">
            <v>0</v>
          </cell>
          <cell r="J45">
            <v>0</v>
          </cell>
        </row>
      </sheetData>
      <sheetData sheetId="10">
        <row r="18">
          <cell r="L18">
            <v>0</v>
          </cell>
          <cell r="M18">
            <v>0</v>
          </cell>
        </row>
        <row r="30">
          <cell r="L30">
            <v>0</v>
          </cell>
          <cell r="M30">
            <v>0</v>
          </cell>
        </row>
      </sheetData>
      <sheetData sheetId="11">
        <row r="12">
          <cell r="D12">
            <v>0</v>
          </cell>
        </row>
      </sheetData>
      <sheetData sheetId="14">
        <row r="8">
          <cell r="I8" t="str">
            <v>$</v>
          </cell>
          <cell r="J8">
            <v>2.69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5"/>
    </sheetNames>
    <sheetDataSet>
      <sheetData sheetId="0">
        <row r="1">
          <cell r="A1" t="str">
            <v>DISTRICT NAME </v>
          </cell>
          <cell r="B1">
            <v>0</v>
          </cell>
          <cell r="G1" t="str">
            <v>COUNTY </v>
          </cell>
          <cell r="H1">
            <v>0</v>
          </cell>
          <cell r="J1" t="str">
            <v>CTD NUMBER </v>
          </cell>
          <cell r="K1">
            <v>0</v>
          </cell>
          <cell r="M1" t="str">
            <v>VERSION</v>
          </cell>
          <cell r="N1">
            <v>0</v>
          </cell>
        </row>
        <row r="4">
          <cell r="A4" t="str">
            <v>OTHER FUNDS—REQUIRED CAPITAL EXPENDITURE DETAIL [(A.R.S. §15-904.(B)]</v>
          </cell>
        </row>
        <row r="6">
          <cell r="D6" t="str">
            <v>SOFT CAPITAL ALLOCATION</v>
          </cell>
          <cell r="F6" t="str">
            <v>BOND BUILDING</v>
          </cell>
          <cell r="H6" t="str">
            <v>BUILDING RENEWAL</v>
          </cell>
          <cell r="J6" t="str">
            <v>NEW SCHOOL FACILITIES</v>
          </cell>
        </row>
        <row r="7">
          <cell r="B7" t="str">
            <v>Expenditures</v>
          </cell>
          <cell r="D7" t="str">
            <v>Fund 625</v>
          </cell>
          <cell r="F7" t="str">
            <v>Fund 630</v>
          </cell>
          <cell r="H7" t="str">
            <v>Fund 690</v>
          </cell>
          <cell r="J7" t="str">
            <v>Fund 695</v>
          </cell>
        </row>
        <row r="8">
          <cell r="D8" t="str">
            <v>Current FY</v>
          </cell>
          <cell r="E8" t="str">
            <v>Budget FY</v>
          </cell>
          <cell r="F8" t="str">
            <v>Current FY</v>
          </cell>
          <cell r="G8" t="str">
            <v>Budget FY</v>
          </cell>
          <cell r="H8" t="str">
            <v>Current FY</v>
          </cell>
          <cell r="I8" t="str">
            <v>Budget FY</v>
          </cell>
          <cell r="J8" t="str">
            <v>Current FY</v>
          </cell>
          <cell r="K8" t="str">
            <v>Budget FY</v>
          </cell>
        </row>
        <row r="9">
          <cell r="A9" t="str">
            <v>All Object Codes (1)</v>
          </cell>
          <cell r="C9" t="str">
            <v>1.</v>
          </cell>
          <cell r="L9" t="str">
            <v>1.</v>
          </cell>
        </row>
        <row r="10">
          <cell r="A10" t="str">
            <v>Select Object Codes Detail</v>
          </cell>
        </row>
        <row r="11">
          <cell r="A11" t="str">
            <v>        6150 Classified Salaries</v>
          </cell>
          <cell r="C11" t="str">
            <v>2.</v>
          </cell>
          <cell r="L11" t="str">
            <v>2.</v>
          </cell>
        </row>
        <row r="12">
          <cell r="A12" t="str">
            <v>        6200 Employee Benefits</v>
          </cell>
          <cell r="C12" t="str">
            <v>3.</v>
          </cell>
          <cell r="L12" t="str">
            <v>3.</v>
          </cell>
        </row>
        <row r="13">
          <cell r="A13" t="str">
            <v>        6450 Construction Services</v>
          </cell>
          <cell r="C13" t="str">
            <v>4.</v>
          </cell>
          <cell r="L13" t="str">
            <v>4.</v>
          </cell>
        </row>
        <row r="14">
          <cell r="A14" t="str">
            <v>        6710 Land and Improvements</v>
          </cell>
          <cell r="C14" t="str">
            <v>5.</v>
          </cell>
          <cell r="L14" t="str">
            <v>5.</v>
          </cell>
        </row>
        <row r="15">
          <cell r="A15" t="str">
            <v>        6720 Buildings and Improvements</v>
          </cell>
          <cell r="C15" t="str">
            <v>6.</v>
          </cell>
          <cell r="L15" t="str">
            <v>6.</v>
          </cell>
        </row>
        <row r="16">
          <cell r="A16" t="str">
            <v>        6731 Furniture and Equipment</v>
          </cell>
          <cell r="C16" t="str">
            <v>7.</v>
          </cell>
          <cell r="L16" t="str">
            <v>7.</v>
          </cell>
        </row>
        <row r="17">
          <cell r="A17" t="str">
            <v>        6734 Vehicles </v>
          </cell>
          <cell r="C17" t="str">
            <v>8.</v>
          </cell>
          <cell r="L17" t="str">
            <v>8.</v>
          </cell>
        </row>
        <row r="18">
          <cell r="A18" t="str">
            <v>        6737 Technology</v>
          </cell>
          <cell r="C18" t="str">
            <v>9.</v>
          </cell>
          <cell r="L18" t="str">
            <v>9.</v>
          </cell>
        </row>
        <row r="19">
          <cell r="A19" t="str">
            <v>        6830 Redemption of Principal</v>
          </cell>
          <cell r="C19" t="str">
            <v>10.</v>
          </cell>
          <cell r="L19" t="str">
            <v>10.</v>
          </cell>
        </row>
        <row r="20">
          <cell r="A20" t="str">
            <v>        6840, 6850 Interest</v>
          </cell>
          <cell r="C20" t="str">
            <v>11.</v>
          </cell>
          <cell r="L20" t="str">
            <v>11.</v>
          </cell>
        </row>
        <row r="21">
          <cell r="A21" t="str">
            <v>Total amounts reported on lines 2 through 11 above for:</v>
          </cell>
        </row>
        <row r="22">
          <cell r="A22" t="str">
            <v>       Renovation</v>
          </cell>
          <cell r="C22" t="str">
            <v>12.</v>
          </cell>
          <cell r="L22" t="str">
            <v>12.</v>
          </cell>
        </row>
        <row r="23">
          <cell r="A23" t="str">
            <v>       New Construction</v>
          </cell>
          <cell r="C23" t="str">
            <v>13.</v>
          </cell>
          <cell r="L23" t="str">
            <v>13.</v>
          </cell>
        </row>
        <row r="24">
          <cell r="A24" t="str">
            <v>       Other</v>
          </cell>
          <cell r="C24" t="str">
            <v>14.</v>
          </cell>
          <cell r="L24" t="str">
            <v>14.</v>
          </cell>
        </row>
        <row r="25">
          <cell r="A25" t="str">
            <v>       Total (lines 12-14)</v>
          </cell>
          <cell r="C25" t="str">
            <v>15.</v>
          </cell>
          <cell r="E25">
            <v>0</v>
          </cell>
          <cell r="G25">
            <v>0</v>
          </cell>
          <cell r="I25">
            <v>0</v>
          </cell>
          <cell r="K25">
            <v>0</v>
          </cell>
          <cell r="L25" t="str">
            <v>15.</v>
          </cell>
        </row>
        <row r="27">
          <cell r="A27" t="str">
            <v>(1) Amounts in the All Object Codes, Line 1 above, must include all individual line items 2-__.</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zed.gov/mowr/" TargetMode="Externa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EmpBenefits" TargetMode="External" /><Relationship Id="rId2" Type="http://schemas.openxmlformats.org/officeDocument/2006/relationships/hyperlink" Target="EmpBenefits"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Pg2Line22" TargetMode="External" /><Relationship Id="rId2" Type="http://schemas.openxmlformats.org/officeDocument/2006/relationships/hyperlink" Target="Pg3InstructionalImprovementProj"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StructuredEnglishImmersionProj" TargetMode="External" /><Relationship Id="rId2" Type="http://schemas.openxmlformats.org/officeDocument/2006/relationships/hyperlink" Target="Pg4StructuredEnglishImmersionProj"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42"/>
  <sheetViews>
    <sheetView showGridLines="0" tabSelected="1" workbookViewId="0" topLeftCell="A1">
      <selection activeCell="P19" sqref="P19:R19"/>
    </sheetView>
  </sheetViews>
  <sheetFormatPr defaultColWidth="9.140625" defaultRowHeight="12.75" customHeight="1"/>
  <cols>
    <col min="1" max="1" width="8.28125" style="0" customWidth="1"/>
    <col min="2" max="2" width="5.421875" style="0" customWidth="1"/>
    <col min="3" max="3" width="4.7109375" style="0" customWidth="1"/>
    <col min="4" max="4" width="8.28125" style="0" customWidth="1"/>
    <col min="5" max="5" width="5.421875" style="0" customWidth="1"/>
    <col min="6" max="6" width="11.28125" style="0" customWidth="1"/>
    <col min="7" max="7" width="6.7109375" style="0" customWidth="1"/>
    <col min="8" max="8" width="3.00390625" style="0" customWidth="1"/>
    <col min="9" max="9" width="11.28125" style="0" customWidth="1"/>
    <col min="10" max="10" width="14.8515625" style="0" customWidth="1"/>
    <col min="12" max="12" width="9.57421875" style="0" customWidth="1"/>
    <col min="14" max="14" width="11.421875" style="0" customWidth="1"/>
    <col min="15" max="15" width="15.8515625" style="0" customWidth="1"/>
    <col min="16" max="16" width="8.7109375" style="0" customWidth="1"/>
    <col min="17" max="17" width="3.7109375" style="0" customWidth="1"/>
    <col min="18" max="18" width="13.7109375" style="0" customWidth="1"/>
    <col min="19" max="19" width="3.57421875" style="0" customWidth="1"/>
    <col min="21" max="21" width="9.57421875" style="0" bestFit="1" customWidth="1"/>
  </cols>
  <sheetData>
    <row r="1" spans="1:18" ht="12.75" customHeight="1">
      <c r="A1" s="543" t="s">
        <v>285</v>
      </c>
      <c r="B1" s="543"/>
      <c r="C1" s="543"/>
      <c r="D1" s="532" t="s">
        <v>279</v>
      </c>
      <c r="E1" s="533"/>
      <c r="F1" s="533"/>
      <c r="G1" s="533"/>
      <c r="H1" s="533"/>
      <c r="I1" s="533"/>
      <c r="L1" s="32" t="s">
        <v>286</v>
      </c>
      <c r="M1" s="537" t="s">
        <v>280</v>
      </c>
      <c r="N1" s="538"/>
      <c r="O1" s="535" t="s">
        <v>374</v>
      </c>
      <c r="P1" s="535"/>
      <c r="Q1" s="535"/>
      <c r="R1" s="194" t="s">
        <v>281</v>
      </c>
    </row>
    <row r="2" spans="4:18" ht="12.75" customHeight="1">
      <c r="D2" s="519" t="s">
        <v>372</v>
      </c>
      <c r="E2" s="519"/>
      <c r="F2" s="519"/>
      <c r="G2" s="519"/>
      <c r="H2" s="519"/>
      <c r="I2" s="519"/>
      <c r="M2" s="29"/>
      <c r="Q2" s="29"/>
      <c r="R2" s="30"/>
    </row>
    <row r="3" spans="4:18" ht="12.75" customHeight="1">
      <c r="D3" s="528"/>
      <c r="E3" s="528"/>
      <c r="F3" s="528"/>
      <c r="G3" s="528"/>
      <c r="H3" s="528"/>
      <c r="I3" s="528"/>
      <c r="M3" s="29"/>
      <c r="Q3" s="29"/>
      <c r="R3" s="30"/>
    </row>
    <row r="4" spans="4:18" ht="12.75" customHeight="1">
      <c r="D4" s="519" t="s">
        <v>373</v>
      </c>
      <c r="E4" s="519"/>
      <c r="F4" s="519"/>
      <c r="G4" s="519"/>
      <c r="H4" s="519"/>
      <c r="I4" s="519"/>
      <c r="L4" s="542" t="str">
        <f>IF(OR('Charter Contact Info'!G7="",'Charter Contact Info'!G8="",'Charter Contact Info'!G10="",'Charter Contact Info'!G11="",'Charter Contact Info'!G12="",'Charter Contact Info'!E13="",'Charter Contact Info'!E14="",'Charter Contact Info'!E15=""),"Please ensure Charter Contact Info tab is complete","")</f>
        <v>Please ensure Charter Contact Info tab is complete</v>
      </c>
      <c r="M4" s="542"/>
      <c r="N4" s="542"/>
      <c r="O4" s="542"/>
      <c r="P4" s="542"/>
      <c r="Q4" s="542"/>
      <c r="R4" s="542"/>
    </row>
    <row r="5" spans="12:18" ht="12.75" customHeight="1">
      <c r="L5" s="542">
        <f>IF('Charter Contact Info'!C24="","Please enter a SIS Vendor on the Charter Contact Info Tab","")</f>
      </c>
      <c r="M5" s="542"/>
      <c r="N5" s="542"/>
      <c r="O5" s="542"/>
      <c r="P5" s="542"/>
      <c r="Q5" s="542"/>
      <c r="R5" s="542"/>
    </row>
    <row r="6" spans="1:18" ht="18" customHeight="1">
      <c r="A6" s="29"/>
      <c r="B6" s="531" t="s">
        <v>185</v>
      </c>
      <c r="C6" s="531"/>
      <c r="D6" s="531"/>
      <c r="E6" s="531"/>
      <c r="F6" s="531"/>
      <c r="G6" s="531"/>
      <c r="H6" s="531"/>
      <c r="I6" s="531"/>
      <c r="J6" s="33"/>
      <c r="K6" s="35" t="s">
        <v>328</v>
      </c>
      <c r="L6" s="563" t="s">
        <v>216</v>
      </c>
      <c r="M6" s="563"/>
      <c r="N6" s="563"/>
      <c r="O6" s="563"/>
      <c r="P6" s="563"/>
      <c r="Q6" s="36" t="s">
        <v>289</v>
      </c>
      <c r="R6" s="477">
        <v>3108083</v>
      </c>
    </row>
    <row r="7" spans="1:18" ht="12.75">
      <c r="A7" s="29"/>
      <c r="B7" s="29"/>
      <c r="C7" s="29"/>
      <c r="D7" s="29"/>
      <c r="E7" s="29"/>
      <c r="F7" s="29"/>
      <c r="G7" s="29"/>
      <c r="J7" s="33"/>
      <c r="K7" s="35"/>
      <c r="L7" s="563"/>
      <c r="M7" s="564"/>
      <c r="N7" s="564"/>
      <c r="O7" s="564"/>
      <c r="P7" s="564"/>
      <c r="Q7" s="36"/>
      <c r="R7" s="252"/>
    </row>
    <row r="8" spans="1:18" ht="18" customHeight="1">
      <c r="A8" s="29"/>
      <c r="B8" s="531" t="s">
        <v>287</v>
      </c>
      <c r="C8" s="531"/>
      <c r="D8" s="531"/>
      <c r="E8" s="531"/>
      <c r="F8" s="531"/>
      <c r="G8" s="531"/>
      <c r="H8" s="531"/>
      <c r="I8" s="531"/>
      <c r="J8" s="34"/>
      <c r="K8" s="35" t="s">
        <v>329</v>
      </c>
      <c r="L8" s="521" t="s">
        <v>217</v>
      </c>
      <c r="M8" s="521"/>
      <c r="N8" s="521"/>
      <c r="O8" s="521"/>
      <c r="P8" s="521"/>
      <c r="Q8" s="521"/>
      <c r="R8" s="252"/>
    </row>
    <row r="9" spans="1:18" ht="12.75">
      <c r="A9" s="29"/>
      <c r="B9" s="29"/>
      <c r="C9" s="29"/>
      <c r="D9" s="29"/>
      <c r="E9" s="29"/>
      <c r="F9" s="29"/>
      <c r="G9" s="29"/>
      <c r="J9" s="33"/>
      <c r="L9" s="29"/>
      <c r="M9" s="29"/>
      <c r="N9" s="29"/>
      <c r="O9" t="s">
        <v>290</v>
      </c>
      <c r="P9" s="38" t="s">
        <v>291</v>
      </c>
      <c r="Q9" s="39" t="s">
        <v>289</v>
      </c>
      <c r="R9" s="37">
        <v>12324</v>
      </c>
    </row>
    <row r="10" spans="1:18" ht="12.75" customHeight="1">
      <c r="A10" s="29"/>
      <c r="B10" s="553" t="s">
        <v>288</v>
      </c>
      <c r="C10" s="553"/>
      <c r="D10" s="553"/>
      <c r="E10" s="553"/>
      <c r="F10" s="553"/>
      <c r="G10" s="553"/>
      <c r="H10" s="553"/>
      <c r="I10" s="553"/>
      <c r="J10" s="536"/>
      <c r="K10" s="35"/>
      <c r="L10" s="249"/>
      <c r="M10" s="249"/>
      <c r="N10" s="249"/>
      <c r="O10" t="s">
        <v>293</v>
      </c>
      <c r="P10" s="38" t="s">
        <v>294</v>
      </c>
      <c r="Q10" s="39" t="s">
        <v>289</v>
      </c>
      <c r="R10" s="37"/>
    </row>
    <row r="11" spans="1:18" ht="12.75" customHeight="1">
      <c r="A11" s="29"/>
      <c r="B11" s="553"/>
      <c r="C11" s="553"/>
      <c r="D11" s="553"/>
      <c r="E11" s="553"/>
      <c r="F11" s="553"/>
      <c r="G11" s="553"/>
      <c r="H11" s="553"/>
      <c r="I11" s="553"/>
      <c r="J11" s="536"/>
      <c r="O11" t="s">
        <v>292</v>
      </c>
      <c r="P11" s="38" t="s">
        <v>353</v>
      </c>
      <c r="Q11" s="39" t="s">
        <v>289</v>
      </c>
      <c r="R11" s="40">
        <v>6416226</v>
      </c>
    </row>
    <row r="12" spans="1:18" ht="12.75" customHeight="1">
      <c r="A12" s="29"/>
      <c r="B12" s="29"/>
      <c r="C12" s="29"/>
      <c r="D12" s="528" t="s">
        <v>367</v>
      </c>
      <c r="E12" s="528"/>
      <c r="F12" s="528"/>
      <c r="G12" s="528"/>
      <c r="H12" s="528"/>
      <c r="J12" s="33"/>
      <c r="O12" t="s">
        <v>295</v>
      </c>
      <c r="P12" s="38" t="s">
        <v>354</v>
      </c>
      <c r="Q12" s="39" t="s">
        <v>289</v>
      </c>
      <c r="R12" s="40">
        <v>115648</v>
      </c>
    </row>
    <row r="13" spans="2:18" ht="12.75" customHeight="1">
      <c r="B13" s="547" t="s">
        <v>364</v>
      </c>
      <c r="C13" s="547"/>
      <c r="D13" s="548"/>
      <c r="E13" s="548"/>
      <c r="F13" s="548"/>
      <c r="G13" s="548"/>
      <c r="H13" s="548"/>
      <c r="I13" s="547"/>
      <c r="J13" s="33"/>
      <c r="O13" t="s">
        <v>330</v>
      </c>
      <c r="Q13" s="39" t="s">
        <v>289</v>
      </c>
      <c r="R13" s="41">
        <f>SUM(R9:R12)</f>
        <v>6544198</v>
      </c>
    </row>
    <row r="14" spans="10:18" ht="12.75" customHeight="1">
      <c r="J14" s="33"/>
      <c r="P14" s="38"/>
      <c r="Q14" s="39"/>
      <c r="R14" s="253"/>
    </row>
    <row r="15" spans="10:18" ht="12.75" customHeight="1">
      <c r="J15" s="33"/>
      <c r="L15" s="549" t="s">
        <v>423</v>
      </c>
      <c r="M15" s="549"/>
      <c r="N15" s="549"/>
      <c r="O15" s="539" t="s">
        <v>283</v>
      </c>
      <c r="P15" s="540"/>
      <c r="Q15" s="540"/>
      <c r="R15" s="540"/>
    </row>
    <row r="16" spans="1:18" ht="12.75" customHeight="1">
      <c r="A16" s="30"/>
      <c r="B16" s="529" t="s">
        <v>365</v>
      </c>
      <c r="C16" s="529"/>
      <c r="D16" s="529"/>
      <c r="E16" s="529"/>
      <c r="F16" s="529"/>
      <c r="G16" s="529"/>
      <c r="H16" s="529"/>
      <c r="I16" s="529"/>
      <c r="J16" s="33"/>
      <c r="L16" s="12" t="s">
        <v>421</v>
      </c>
      <c r="M16" s="550">
        <v>6025685565</v>
      </c>
      <c r="N16" s="550"/>
      <c r="O16" s="39" t="s">
        <v>422</v>
      </c>
      <c r="P16" s="541" t="s">
        <v>284</v>
      </c>
      <c r="Q16" s="541"/>
      <c r="R16" s="541"/>
    </row>
    <row r="17" spans="10:18" ht="12.75" customHeight="1">
      <c r="J17" s="33"/>
      <c r="P17" s="38"/>
      <c r="Q17" s="39"/>
      <c r="R17" s="253"/>
    </row>
    <row r="18" spans="10:18" ht="12.75" customHeight="1">
      <c r="J18" s="33"/>
      <c r="L18" s="534" t="s">
        <v>218</v>
      </c>
      <c r="M18" s="534"/>
      <c r="N18" s="534"/>
      <c r="O18" s="534"/>
      <c r="P18" s="534"/>
      <c r="Q18" s="534"/>
      <c r="R18" s="534"/>
    </row>
    <row r="19" spans="2:18" ht="12.75" customHeight="1">
      <c r="B19" s="530" t="s">
        <v>223</v>
      </c>
      <c r="C19" s="530"/>
      <c r="D19" s="530"/>
      <c r="E19" s="530"/>
      <c r="F19" s="530"/>
      <c r="G19" s="530"/>
      <c r="H19" s="530"/>
      <c r="I19" s="530"/>
      <c r="J19" s="33"/>
      <c r="L19" s="534" t="s">
        <v>60</v>
      </c>
      <c r="M19" s="534"/>
      <c r="N19" s="534"/>
      <c r="O19" s="534"/>
      <c r="P19" s="545">
        <v>43654</v>
      </c>
      <c r="Q19" s="545"/>
      <c r="R19" s="545"/>
    </row>
    <row r="20" spans="3:18" ht="12.75" customHeight="1">
      <c r="C20" s="525" t="s">
        <v>366</v>
      </c>
      <c r="D20" s="525"/>
      <c r="F20" s="545">
        <v>43640</v>
      </c>
      <c r="G20" s="545"/>
      <c r="H20" s="545"/>
      <c r="I20" s="264">
        <f>IF(AND(ISNUMBER(SEARCH("Proposed*",D12)),F20=""),"Please enter a Proposed Date","")</f>
      </c>
      <c r="J20" s="33"/>
      <c r="L20" s="523" t="s">
        <v>196</v>
      </c>
      <c r="M20" s="523"/>
      <c r="N20" s="523"/>
      <c r="O20" s="523"/>
      <c r="P20" s="546" t="s">
        <v>58</v>
      </c>
      <c r="Q20" s="546"/>
      <c r="R20" s="546"/>
    </row>
    <row r="21" spans="3:18" ht="12.75" customHeight="1">
      <c r="C21" s="525" t="s">
        <v>367</v>
      </c>
      <c r="D21" s="525"/>
      <c r="F21" s="524">
        <v>43654</v>
      </c>
      <c r="G21" s="524"/>
      <c r="H21" s="524"/>
      <c r="I21" s="264">
        <f>IF(AND(ISNUMBER(SEARCH("Adopted*",D12)),F21=""),"Please enter an Adopted Date","")</f>
      </c>
      <c r="J21" s="33"/>
      <c r="L21" s="551"/>
      <c r="M21" s="552"/>
      <c r="N21" s="552"/>
      <c r="O21" s="552"/>
      <c r="P21" s="552"/>
      <c r="Q21" s="552"/>
      <c r="R21" s="552"/>
    </row>
    <row r="22" spans="1:18" ht="12.75" customHeight="1">
      <c r="A22" s="30"/>
      <c r="C22" s="525" t="s">
        <v>368</v>
      </c>
      <c r="D22" s="525"/>
      <c r="F22" s="524"/>
      <c r="G22" s="524"/>
      <c r="H22" s="524"/>
      <c r="I22" s="247">
        <f>IF(AND(ISNUMBER(SEARCH("Revised*",D12)),F22=""),"Please enter a Revised Date","")</f>
      </c>
      <c r="J22" s="42"/>
      <c r="L22" s="517"/>
      <c r="M22" s="517"/>
      <c r="N22" s="517"/>
      <c r="O22" s="240"/>
      <c r="P22" s="517"/>
      <c r="Q22" s="517"/>
      <c r="R22" s="517"/>
    </row>
    <row r="23" spans="6:22" ht="12.75" customHeight="1">
      <c r="F23" s="519" t="s">
        <v>369</v>
      </c>
      <c r="G23" s="519"/>
      <c r="H23" s="519"/>
      <c r="J23" s="33"/>
      <c r="L23" s="518" t="s">
        <v>530</v>
      </c>
      <c r="M23" s="518"/>
      <c r="N23" s="518"/>
      <c r="O23" s="46"/>
      <c r="P23" s="518" t="s">
        <v>530</v>
      </c>
      <c r="Q23" s="518"/>
      <c r="R23" s="518"/>
      <c r="S23" s="239"/>
      <c r="T23" s="239"/>
      <c r="U23" s="239"/>
      <c r="V23" s="85"/>
    </row>
    <row r="24" spans="2:18" ht="12.75" customHeight="1">
      <c r="B24" s="43"/>
      <c r="E24" s="44"/>
      <c r="J24" s="33"/>
      <c r="L24" s="12"/>
      <c r="M24" s="12"/>
      <c r="N24" s="12"/>
      <c r="O24" s="12"/>
      <c r="P24" s="12"/>
      <c r="Q24" s="12"/>
      <c r="R24" s="12"/>
    </row>
    <row r="25" spans="1:21" ht="12.75" customHeight="1">
      <c r="A25" s="526"/>
      <c r="B25" s="526"/>
      <c r="C25" s="526"/>
      <c r="D25" s="526"/>
      <c r="E25" s="526"/>
      <c r="F25" s="526"/>
      <c r="G25" s="526"/>
      <c r="H25" s="526"/>
      <c r="I25" s="526"/>
      <c r="J25" s="527"/>
      <c r="L25" s="523">
        <f>IF(OR(L26="",P26=""),"Please enter typed school official names","")</f>
      </c>
      <c r="M25" s="523"/>
      <c r="N25" s="523"/>
      <c r="O25" s="523"/>
      <c r="P25" s="523"/>
      <c r="Q25" s="523"/>
      <c r="R25" s="523"/>
      <c r="U25" s="259"/>
    </row>
    <row r="26" spans="1:18" ht="12.75" customHeight="1">
      <c r="A26" s="526"/>
      <c r="B26" s="526"/>
      <c r="C26" s="526"/>
      <c r="D26" s="526"/>
      <c r="E26" s="526"/>
      <c r="F26" s="526"/>
      <c r="G26" s="526"/>
      <c r="H26" s="526"/>
      <c r="I26" s="526"/>
      <c r="J26" s="527"/>
      <c r="L26" s="544" t="s">
        <v>283</v>
      </c>
      <c r="M26" s="528"/>
      <c r="N26" s="528"/>
      <c r="O26" s="46"/>
      <c r="P26" s="544" t="s">
        <v>533</v>
      </c>
      <c r="Q26" s="528"/>
      <c r="R26" s="528"/>
    </row>
    <row r="27" spans="1:18" ht="12.75" customHeight="1">
      <c r="A27" s="526"/>
      <c r="B27" s="526"/>
      <c r="C27" s="526"/>
      <c r="D27" s="526"/>
      <c r="E27" s="526"/>
      <c r="F27" s="526"/>
      <c r="G27" s="526"/>
      <c r="H27" s="526"/>
      <c r="I27" s="526"/>
      <c r="J27" s="527"/>
      <c r="L27" s="518" t="s">
        <v>532</v>
      </c>
      <c r="M27" s="519"/>
      <c r="N27" s="519"/>
      <c r="O27" s="46"/>
      <c r="P27" s="518" t="s">
        <v>532</v>
      </c>
      <c r="Q27" s="519"/>
      <c r="R27" s="519"/>
    </row>
    <row r="28" spans="2:10" ht="12.75" customHeight="1">
      <c r="B28" s="30"/>
      <c r="C28" s="43"/>
      <c r="D28" s="43"/>
      <c r="F28" s="30"/>
      <c r="G28" s="45"/>
      <c r="H28" s="29"/>
      <c r="I28" s="29"/>
      <c r="J28" s="34"/>
    </row>
    <row r="29" spans="1:19" ht="12.75" customHeight="1">
      <c r="A29" s="517"/>
      <c r="B29" s="517"/>
      <c r="C29" s="517"/>
      <c r="D29" s="517"/>
      <c r="E29" s="517"/>
      <c r="F29" s="30"/>
      <c r="G29" s="520" t="s">
        <v>148</v>
      </c>
      <c r="H29" s="520"/>
      <c r="I29" s="520"/>
      <c r="J29" s="34"/>
      <c r="L29" s="521" t="s">
        <v>219</v>
      </c>
      <c r="M29" s="521"/>
      <c r="N29" s="522"/>
      <c r="O29" s="522"/>
      <c r="P29" s="522"/>
      <c r="Q29" s="522"/>
      <c r="R29" s="522"/>
      <c r="S29" s="521"/>
    </row>
    <row r="30" spans="8:19" ht="12.75" customHeight="1" thickBot="1">
      <c r="H30" s="29"/>
      <c r="I30" s="29"/>
      <c r="J30" s="34"/>
      <c r="L30" s="523">
        <f>IF((BudgetYearSalary)=0,"Average teacher salary information is not complete",IF(AND((PriorYearSalary)=0,(L31)=""),"Average teacher salary information is not complete",""))</f>
      </c>
      <c r="M30" s="523"/>
      <c r="N30" s="523"/>
      <c r="O30" s="523"/>
      <c r="P30" s="523"/>
      <c r="Q30" s="523"/>
      <c r="R30" s="523"/>
      <c r="S30" s="476"/>
    </row>
    <row r="31" spans="1:18" ht="12.75" customHeight="1" thickBot="1">
      <c r="A31" s="517"/>
      <c r="B31" s="517"/>
      <c r="C31" s="517"/>
      <c r="D31" s="517"/>
      <c r="E31" s="517"/>
      <c r="F31" s="30"/>
      <c r="G31" s="520" t="s">
        <v>556</v>
      </c>
      <c r="H31" s="520"/>
      <c r="I31" s="520"/>
      <c r="J31" s="33"/>
      <c r="L31" s="478"/>
      <c r="M31" s="241" t="s">
        <v>184</v>
      </c>
      <c r="N31" s="247"/>
      <c r="O31" s="247"/>
      <c r="P31" s="247"/>
      <c r="Q31" s="247"/>
      <c r="R31" s="247"/>
    </row>
    <row r="32" spans="10:19" ht="12.75" customHeight="1">
      <c r="J32" s="33"/>
      <c r="L32" s="241" t="s">
        <v>220</v>
      </c>
      <c r="M32" s="447"/>
      <c r="N32" s="447"/>
      <c r="O32" s="504"/>
      <c r="P32" s="504"/>
      <c r="Q32" s="39" t="s">
        <v>289</v>
      </c>
      <c r="R32" s="246">
        <v>73960</v>
      </c>
      <c r="S32" s="256">
        <f>IF(OR(BudgetYearSalary=0,PriorYearSalary=0),1/error,"")</f>
      </c>
    </row>
    <row r="33" spans="1:18" ht="12.75" customHeight="1">
      <c r="A33" s="517"/>
      <c r="B33" s="517"/>
      <c r="C33" s="517"/>
      <c r="D33" s="517"/>
      <c r="E33" s="517"/>
      <c r="F33" s="30"/>
      <c r="G33" s="520"/>
      <c r="H33" s="520"/>
      <c r="I33" s="520"/>
      <c r="J33" s="33"/>
      <c r="L33" s="241" t="s">
        <v>221</v>
      </c>
      <c r="M33" s="85"/>
      <c r="N33" s="85"/>
      <c r="O33" s="504"/>
      <c r="P33" s="504"/>
      <c r="Q33" s="39" t="s">
        <v>289</v>
      </c>
      <c r="R33" s="40">
        <v>51017</v>
      </c>
    </row>
    <row r="34" spans="10:18" ht="12.75" customHeight="1">
      <c r="J34" s="33"/>
      <c r="L34" s="241" t="s">
        <v>222</v>
      </c>
      <c r="M34" s="85"/>
      <c r="N34" s="85"/>
      <c r="O34" s="504"/>
      <c r="P34" s="504"/>
      <c r="Q34" s="39" t="s">
        <v>289</v>
      </c>
      <c r="R34" s="40">
        <f>R32-R33</f>
        <v>22943</v>
      </c>
    </row>
    <row r="35" spans="1:18" ht="12.75" customHeight="1">
      <c r="A35" s="517"/>
      <c r="B35" s="517"/>
      <c r="C35" s="517"/>
      <c r="D35" s="517"/>
      <c r="E35" s="517"/>
      <c r="F35" s="30"/>
      <c r="G35" s="520"/>
      <c r="H35" s="520"/>
      <c r="I35" s="520"/>
      <c r="J35" s="33"/>
      <c r="L35" s="241" t="s">
        <v>11</v>
      </c>
      <c r="Q35" s="39"/>
      <c r="R35" s="254">
        <f>IF(PriorYearSalary&gt;0,R34/R33,0)</f>
        <v>0.45</v>
      </c>
    </row>
    <row r="36" spans="4:18" ht="12.75" customHeight="1">
      <c r="D36" s="29"/>
      <c r="E36" s="29"/>
      <c r="F36" s="29"/>
      <c r="G36" s="29"/>
      <c r="J36" s="33"/>
      <c r="L36" s="554" t="s">
        <v>188</v>
      </c>
      <c r="M36" s="555"/>
      <c r="N36" s="555"/>
      <c r="O36" s="555"/>
      <c r="P36" s="555"/>
      <c r="Q36" s="555"/>
      <c r="R36" s="556"/>
    </row>
    <row r="37" spans="1:18" ht="12.75" customHeight="1">
      <c r="A37" s="517"/>
      <c r="B37" s="517"/>
      <c r="C37" s="517"/>
      <c r="D37" s="517"/>
      <c r="E37" s="517"/>
      <c r="F37" s="30"/>
      <c r="G37" s="520"/>
      <c r="H37" s="520"/>
      <c r="I37" s="520"/>
      <c r="K37" s="251"/>
      <c r="L37" s="557"/>
      <c r="M37" s="558"/>
      <c r="N37" s="558"/>
      <c r="O37" s="558"/>
      <c r="P37" s="558"/>
      <c r="Q37" s="558"/>
      <c r="R37" s="559"/>
    </row>
    <row r="38" spans="4:19" ht="12.75" customHeight="1">
      <c r="D38" s="29"/>
      <c r="E38" s="29"/>
      <c r="F38" s="29"/>
      <c r="G38" s="29"/>
      <c r="K38" s="143"/>
      <c r="L38" s="557"/>
      <c r="M38" s="558"/>
      <c r="N38" s="558"/>
      <c r="O38" s="558"/>
      <c r="P38" s="558"/>
      <c r="Q38" s="558"/>
      <c r="R38" s="559"/>
      <c r="S38" s="251"/>
    </row>
    <row r="39" spans="1:19" ht="12.75" customHeight="1">
      <c r="A39" s="517"/>
      <c r="B39" s="517"/>
      <c r="C39" s="517"/>
      <c r="D39" s="517"/>
      <c r="E39" s="517"/>
      <c r="F39" s="30"/>
      <c r="G39" s="520"/>
      <c r="H39" s="520"/>
      <c r="I39" s="520"/>
      <c r="K39" s="143"/>
      <c r="L39" s="557"/>
      <c r="M39" s="558"/>
      <c r="N39" s="558"/>
      <c r="O39" s="558"/>
      <c r="P39" s="558"/>
      <c r="Q39" s="558"/>
      <c r="R39" s="559"/>
      <c r="S39" s="251"/>
    </row>
    <row r="40" spans="4:19" ht="12.75" customHeight="1">
      <c r="D40" s="29"/>
      <c r="E40" s="29"/>
      <c r="F40" s="29"/>
      <c r="G40" s="29"/>
      <c r="K40" s="143"/>
      <c r="L40" s="560"/>
      <c r="M40" s="561"/>
      <c r="N40" s="561"/>
      <c r="O40" s="561"/>
      <c r="P40" s="561"/>
      <c r="Q40" s="561"/>
      <c r="R40" s="562"/>
      <c r="S40" s="251"/>
    </row>
    <row r="41" spans="1:19" ht="12.75" customHeight="1">
      <c r="A41" s="517"/>
      <c r="B41" s="517"/>
      <c r="C41" s="517"/>
      <c r="D41" s="517"/>
      <c r="E41" s="517"/>
      <c r="F41" s="30"/>
      <c r="G41" s="520"/>
      <c r="H41" s="520"/>
      <c r="I41" s="520"/>
      <c r="K41" s="251"/>
      <c r="L41" s="241" t="s">
        <v>197</v>
      </c>
      <c r="M41" s="505"/>
      <c r="N41" s="505"/>
      <c r="O41" s="505"/>
      <c r="P41" s="505"/>
      <c r="Q41" s="258" t="s">
        <v>289</v>
      </c>
      <c r="R41" s="246">
        <v>49440</v>
      </c>
      <c r="S41" s="491"/>
    </row>
    <row r="42" spans="1:19" ht="12.75" customHeight="1">
      <c r="A42" s="519" t="s">
        <v>370</v>
      </c>
      <c r="B42" s="519"/>
      <c r="C42" s="519"/>
      <c r="D42" s="519"/>
      <c r="E42" s="519"/>
      <c r="F42" s="30"/>
      <c r="G42" s="519" t="s">
        <v>327</v>
      </c>
      <c r="H42" s="519"/>
      <c r="I42" s="519"/>
      <c r="K42" s="251"/>
      <c r="L42" s="241" t="s">
        <v>198</v>
      </c>
      <c r="M42" s="505"/>
      <c r="N42" s="505"/>
      <c r="O42" s="505"/>
      <c r="P42" s="505"/>
      <c r="Q42" s="505"/>
      <c r="R42" s="506">
        <f>IF(PriorYearSalary&gt;0,((BudgetYearSalary-R41)/R41),0)</f>
        <v>0.496</v>
      </c>
      <c r="S42" s="491"/>
    </row>
  </sheetData>
  <sheetProtection formatColumns="0" formatRows="0"/>
  <mergeCells count="69">
    <mergeCell ref="L21:R21"/>
    <mergeCell ref="B10:I10"/>
    <mergeCell ref="L36:R40"/>
    <mergeCell ref="D4:I4"/>
    <mergeCell ref="B11:I11"/>
    <mergeCell ref="L6:P6"/>
    <mergeCell ref="L7:P7"/>
    <mergeCell ref="A25:J25"/>
    <mergeCell ref="D12:H12"/>
    <mergeCell ref="F23:H23"/>
    <mergeCell ref="L8:Q8"/>
    <mergeCell ref="P20:R20"/>
    <mergeCell ref="L20:O20"/>
    <mergeCell ref="B13:I13"/>
    <mergeCell ref="L15:N15"/>
    <mergeCell ref="M16:N16"/>
    <mergeCell ref="A1:C1"/>
    <mergeCell ref="L26:N26"/>
    <mergeCell ref="P26:R26"/>
    <mergeCell ref="L22:N22"/>
    <mergeCell ref="C20:D20"/>
    <mergeCell ref="L18:R18"/>
    <mergeCell ref="P19:R19"/>
    <mergeCell ref="L25:R25"/>
    <mergeCell ref="F20:H20"/>
    <mergeCell ref="C21:D21"/>
    <mergeCell ref="D1:I1"/>
    <mergeCell ref="L19:O19"/>
    <mergeCell ref="O1:Q1"/>
    <mergeCell ref="J10:J11"/>
    <mergeCell ref="M1:N1"/>
    <mergeCell ref="O15:R15"/>
    <mergeCell ref="P16:R16"/>
    <mergeCell ref="L4:R4"/>
    <mergeCell ref="L5:R5"/>
    <mergeCell ref="B6:I6"/>
    <mergeCell ref="D2:I2"/>
    <mergeCell ref="D3:I3"/>
    <mergeCell ref="G37:I37"/>
    <mergeCell ref="G39:I39"/>
    <mergeCell ref="F22:H22"/>
    <mergeCell ref="A31:E31"/>
    <mergeCell ref="B16:I16"/>
    <mergeCell ref="B19:I19"/>
    <mergeCell ref="A26:J26"/>
    <mergeCell ref="B8:I8"/>
    <mergeCell ref="F21:H21"/>
    <mergeCell ref="C22:D22"/>
    <mergeCell ref="G29:I29"/>
    <mergeCell ref="G33:I33"/>
    <mergeCell ref="G31:I31"/>
    <mergeCell ref="A27:J27"/>
    <mergeCell ref="L30:R30"/>
    <mergeCell ref="G42:I42"/>
    <mergeCell ref="A42:E42"/>
    <mergeCell ref="A37:E37"/>
    <mergeCell ref="A39:E39"/>
    <mergeCell ref="G41:I41"/>
    <mergeCell ref="A41:E41"/>
    <mergeCell ref="P22:R22"/>
    <mergeCell ref="L23:N23"/>
    <mergeCell ref="P23:R23"/>
    <mergeCell ref="P27:R27"/>
    <mergeCell ref="L27:N27"/>
    <mergeCell ref="A35:E35"/>
    <mergeCell ref="A29:E29"/>
    <mergeCell ref="G35:I35"/>
    <mergeCell ref="A33:E33"/>
    <mergeCell ref="L29:S29"/>
  </mergeCells>
  <dataValidations count="9">
    <dataValidation type="list" allowBlank="1" showErrorMessage="1" errorTitle="Invalid Entry" error="Please select the budget version from the drop down list." sqref="D12:H12">
      <formula1>"Proposed, Adopted, Revised #1, Revised #2, Revised #3, Revised #4"</formula1>
    </dataValidation>
    <dataValidation type="textLength" operator="equal" allowBlank="1" showInputMessage="1" showErrorMessage="1" error="This cell will only accept entries of 9 digits.  Enter your CTD number plus 3 zeros." sqref="R1">
      <formula1>9</formula1>
    </dataValidation>
    <dataValidation type="date" operator="greaterThan" allowBlank="1" showInputMessage="1" showErrorMessage="1" promptTitle="Enter Date as" prompt="MM/DD/YYYY" errorTitle="Date" error="Enter a Valid Date&#10;MM/DD/YYYY" sqref="F20:H20">
      <formula1>43241</formula1>
    </dataValidation>
    <dataValidation type="date" operator="greaterThan" allowBlank="1" showInputMessage="1" showErrorMessage="1" promptTitle="Enter Date as" prompt="MM/DD/YYYY" errorTitle="Date" error="Revision date must be greater than adopted date" sqref="F22:H22">
      <formula1>F21</formula1>
    </dataValidation>
    <dataValidation type="date" operator="greaterThan" allowBlank="1" showInputMessage="1" showErrorMessage="1" promptTitle="Enter Date as" prompt="MM/DD/YYYY" errorTitle="Date" error="Adopted date must be greater than proposed date" sqref="F21:H21">
      <formula1>F20</formula1>
    </dataValidation>
    <dataValidation type="date" operator="greaterThan" allowBlank="1" showInputMessage="1" showErrorMessage="1" promptTitle="Enter Date as" prompt="MM/DD/YYYY" errorTitle="Date" error="Enter a Valid Date MM/DD/YYYY" sqref="P19:R19">
      <formula1>43241</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M16:N16">
      <formula1>AND(ISNUMBER(M16),LEN(M16)=10)</formula1>
    </dataValidation>
    <dataValidation type="custom" allowBlank="1" showInputMessage="1" showErrorMessage="1" promptTitle="Email Address" prompt="Please enter a valid email address." errorTitle="Email Address" error="Please enter a valid email address" sqref="P16:R16">
      <formula1>ISNUMBER(MATCH("*@*",P16,0))</formula1>
    </dataValidation>
    <dataValidation type="list" allowBlank="1" showInputMessage="1" showErrorMessage="1" sqref="L31">
      <formula1>"X"</formula1>
    </dataValidation>
  </dataValidations>
  <hyperlinks>
    <hyperlink ref="O1:Q1" location="CTDSNumber" display="CTDS NUMBER"/>
    <hyperlink ref="B13:I13" location="Version" display="Version"/>
    <hyperlink ref="L8:Q8" location="EstimatedRevenues" display="ESTIMATED REVENUES BY SOURCE FOR FISCAL YEAR 2019"/>
    <hyperlink ref="L29:S29" location="AverageTeacherSalaries" display="AVERAGE TEACHER SALARY (A.R.S. §15-189.05)"/>
  </hyperlinks>
  <printOptions horizontalCentered="1" verticalCentered="1"/>
  <pageMargins left="0.75" right="0.5" top="0.25" bottom="0.25" header="0" footer="0"/>
  <pageSetup fitToHeight="1" fitToWidth="1" horizontalDpi="600" verticalDpi="600" orientation="landscape" scale="77" r:id="rId2"/>
  <headerFooter>
    <oddFooter>&amp;L&amp;"Arial,Bold"Rev. 5/19 Arizona Department of Education and Auditor General</oddFooter>
  </headerFooter>
  <drawing r:id="rId1"/>
</worksheet>
</file>

<file path=xl/worksheets/sheet10.xml><?xml version="1.0" encoding="utf-8"?>
<worksheet xmlns="http://schemas.openxmlformats.org/spreadsheetml/2006/main" xmlns:r="http://schemas.openxmlformats.org/officeDocument/2006/relationships">
  <dimension ref="A1:J190"/>
  <sheetViews>
    <sheetView showGridLines="0" workbookViewId="0" topLeftCell="A97">
      <selection activeCell="B1" sqref="B1:C1"/>
    </sheetView>
  </sheetViews>
  <sheetFormatPr defaultColWidth="9.140625" defaultRowHeight="12.75"/>
  <cols>
    <col min="1" max="1" width="39.421875" style="291" customWidth="1"/>
    <col min="2" max="2" width="14.421875" style="291" customWidth="1"/>
    <col min="3" max="3" width="16.28125" style="291" customWidth="1"/>
    <col min="4" max="5" width="14.421875" style="291" customWidth="1"/>
    <col min="6" max="6" width="4.57421875" style="291" customWidth="1"/>
    <col min="7" max="7" width="15.8515625" style="291" customWidth="1"/>
    <col min="8" max="8" width="15.7109375" style="291" customWidth="1"/>
    <col min="9" max="9" width="15.28125" style="291" customWidth="1"/>
    <col min="10" max="10" width="13.7109375" style="291" customWidth="1"/>
    <col min="11" max="14" width="9.140625" style="291" customWidth="1"/>
    <col min="15" max="15" width="2.7109375" style="291" customWidth="1"/>
    <col min="16" max="16" width="10.421875" style="291" customWidth="1"/>
    <col min="17" max="16384" width="9.140625" style="291" customWidth="1"/>
  </cols>
  <sheetData>
    <row r="1" spans="1:10" ht="12.75">
      <c r="A1" s="309" t="s">
        <v>187</v>
      </c>
      <c r="B1" s="678" t="str">
        <f>Cover!D1</f>
        <v>NORTH STAR CHARTER SCHOOL, INC.</v>
      </c>
      <c r="C1" s="678"/>
      <c r="D1" s="309" t="s">
        <v>61</v>
      </c>
      <c r="E1" s="678" t="str">
        <f>Cover!M1</f>
        <v>MARICOPA</v>
      </c>
      <c r="F1" s="678"/>
      <c r="G1" s="678"/>
      <c r="H1" s="309" t="s">
        <v>475</v>
      </c>
      <c r="I1" s="679" t="str">
        <f>Cover!R1</f>
        <v>078945000</v>
      </c>
      <c r="J1" s="679"/>
    </row>
    <row r="2" spans="1:10" ht="12.75">
      <c r="A2" s="309"/>
      <c r="B2" s="364"/>
      <c r="C2" s="365"/>
      <c r="D2" s="309"/>
      <c r="E2" s="364"/>
      <c r="F2" s="365"/>
      <c r="G2" s="365"/>
      <c r="I2" s="309"/>
      <c r="J2" s="365"/>
    </row>
    <row r="3" spans="1:10" ht="12.75">
      <c r="A3" s="677" t="s">
        <v>150</v>
      </c>
      <c r="B3" s="677"/>
      <c r="C3" s="677"/>
      <c r="D3" s="677"/>
      <c r="E3" s="677"/>
      <c r="F3" s="677"/>
      <c r="G3" s="677"/>
      <c r="H3" s="677"/>
      <c r="I3" s="677"/>
      <c r="J3" s="677"/>
    </row>
    <row r="4" spans="1:10" ht="12.75">
      <c r="A4" s="677" t="s">
        <v>133</v>
      </c>
      <c r="B4" s="677"/>
      <c r="C4" s="677"/>
      <c r="D4" s="677"/>
      <c r="E4" s="677"/>
      <c r="F4" s="677"/>
      <c r="G4" s="677"/>
      <c r="H4" s="677"/>
      <c r="I4" s="677"/>
      <c r="J4" s="677"/>
    </row>
    <row r="5" spans="1:10" ht="12.75">
      <c r="A5" s="677" t="s">
        <v>151</v>
      </c>
      <c r="B5" s="677"/>
      <c r="C5" s="677"/>
      <c r="D5" s="677"/>
      <c r="E5" s="677"/>
      <c r="F5" s="677"/>
      <c r="G5" s="677"/>
      <c r="H5" s="677"/>
      <c r="I5" s="677"/>
      <c r="J5" s="677"/>
    </row>
    <row r="6" ht="12.75">
      <c r="J6" s="307" t="s">
        <v>212</v>
      </c>
    </row>
    <row r="8" spans="1:5" ht="12.75">
      <c r="A8" s="397" t="s">
        <v>96</v>
      </c>
      <c r="B8" s="398" t="s">
        <v>62</v>
      </c>
      <c r="C8" s="398" t="s">
        <v>63</v>
      </c>
      <c r="D8" s="399" t="s">
        <v>64</v>
      </c>
      <c r="E8" s="396" t="s">
        <v>487</v>
      </c>
    </row>
    <row r="9" spans="1:5" ht="12.75">
      <c r="A9" s="479" t="s">
        <v>159</v>
      </c>
      <c r="B9" s="366">
        <f>'Data Entry'!F17</f>
        <v>0</v>
      </c>
      <c r="C9" s="366">
        <f>'Data Entry'!I17</f>
        <v>0</v>
      </c>
      <c r="D9" s="366">
        <f>'Data Entry'!L17</f>
        <v>800</v>
      </c>
      <c r="E9" s="395">
        <f>SUM(B9:D9)</f>
        <v>800</v>
      </c>
    </row>
    <row r="12" ht="11.25" customHeight="1"/>
    <row r="13" spans="1:7" ht="42" customHeight="1">
      <c r="A13" s="375" t="s">
        <v>98</v>
      </c>
      <c r="C13" s="325" t="s">
        <v>97</v>
      </c>
      <c r="E13" s="368" t="s">
        <v>65</v>
      </c>
      <c r="G13" s="368" t="s">
        <v>99</v>
      </c>
    </row>
    <row r="14" spans="1:7" ht="12.75">
      <c r="A14" s="380" t="s">
        <v>62</v>
      </c>
      <c r="C14" s="366">
        <f>B9</f>
        <v>0</v>
      </c>
      <c r="D14" s="365" t="s">
        <v>72</v>
      </c>
      <c r="E14" s="369">
        <v>1.45</v>
      </c>
      <c r="F14" s="365" t="s">
        <v>70</v>
      </c>
      <c r="G14" s="366">
        <f>C14*E14</f>
        <v>0</v>
      </c>
    </row>
    <row r="15" spans="1:7" ht="12.75">
      <c r="A15" s="291" t="s">
        <v>63</v>
      </c>
      <c r="C15" s="366">
        <f>C9</f>
        <v>0</v>
      </c>
      <c r="D15" s="365" t="s">
        <v>72</v>
      </c>
      <c r="E15" s="369">
        <f>IF('Data Entry'!I20&gt;0,IF('Data Entry'!I20&lt;100,Calculations!L9,IF('Data Entry'!I20&lt;500,Calculations!L17,IF('Data Entry'!I20&lt;600,Calculations!L25,Calculations!L27))),0)</f>
        <v>0</v>
      </c>
      <c r="F15" s="365" t="s">
        <v>70</v>
      </c>
      <c r="G15" s="366">
        <f>C15*E15</f>
        <v>0</v>
      </c>
    </row>
    <row r="16" spans="1:7" ht="12.75">
      <c r="A16" s="384" t="s">
        <v>64</v>
      </c>
      <c r="C16" s="370">
        <f>D9</f>
        <v>800</v>
      </c>
      <c r="D16" s="365" t="s">
        <v>72</v>
      </c>
      <c r="E16" s="369">
        <f>IF('Data Entry'!L20&gt;0,IF('Data Entry'!L20&lt;100,Calculations!N9,IF('Data Entry'!L20&lt;500,Calculations!N17,IF('Data Entry'!L20&lt;600,Calculations!N25,Calculations!N27))),0)</f>
        <v>1.268</v>
      </c>
      <c r="F16" s="365" t="s">
        <v>70</v>
      </c>
      <c r="G16" s="370">
        <f>C16*E16</f>
        <v>1014.4</v>
      </c>
    </row>
    <row r="17" spans="1:7" ht="12.75">
      <c r="A17" s="383" t="s">
        <v>100</v>
      </c>
      <c r="C17" s="371">
        <f>SUM(C14:C16)</f>
        <v>800</v>
      </c>
      <c r="G17" s="371">
        <f>SUM(G14:G16)</f>
        <v>1014.4</v>
      </c>
    </row>
    <row r="18" ht="17.25" customHeight="1"/>
    <row r="19" ht="11.25" customHeight="1"/>
    <row r="21" spans="1:7" ht="42" customHeight="1">
      <c r="A21" s="372" t="s">
        <v>157</v>
      </c>
      <c r="C21" s="368" t="s">
        <v>164</v>
      </c>
      <c r="E21" s="368" t="s">
        <v>65</v>
      </c>
      <c r="G21" s="368" t="s">
        <v>166</v>
      </c>
    </row>
    <row r="22" spans="1:7" ht="12.75">
      <c r="A22" s="291" t="s">
        <v>80</v>
      </c>
      <c r="C22" s="373">
        <f>'Data Entry'!I38</f>
        <v>0</v>
      </c>
      <c r="D22" s="365" t="s">
        <v>72</v>
      </c>
      <c r="E22" s="369">
        <v>0.04</v>
      </c>
      <c r="F22" s="365" t="s">
        <v>70</v>
      </c>
      <c r="G22" s="373">
        <f>C22*E22</f>
        <v>0</v>
      </c>
    </row>
    <row r="23" spans="1:7" ht="12.75">
      <c r="A23" s="291" t="s">
        <v>81</v>
      </c>
      <c r="C23" s="373">
        <f>'Data Entry'!I39</f>
        <v>0</v>
      </c>
      <c r="D23" s="365" t="s">
        <v>72</v>
      </c>
      <c r="E23" s="369">
        <v>0.06</v>
      </c>
      <c r="F23" s="365" t="s">
        <v>70</v>
      </c>
      <c r="G23" s="373">
        <f aca="true" t="shared" si="0" ref="G23:G35">C23*E23</f>
        <v>0</v>
      </c>
    </row>
    <row r="24" spans="1:7" ht="12.75">
      <c r="A24" s="291" t="s">
        <v>101</v>
      </c>
      <c r="C24" s="373">
        <f>'Data Entry'!I40</f>
        <v>0</v>
      </c>
      <c r="D24" s="365" t="s">
        <v>72</v>
      </c>
      <c r="E24" s="369">
        <v>0.115</v>
      </c>
      <c r="F24" s="365" t="s">
        <v>70</v>
      </c>
      <c r="G24" s="373">
        <f t="shared" si="0"/>
        <v>0</v>
      </c>
    </row>
    <row r="25" spans="1:7" ht="12.75">
      <c r="A25" s="291" t="s">
        <v>102</v>
      </c>
      <c r="C25" s="373">
        <f>'Data Entry'!I41</f>
        <v>0</v>
      </c>
      <c r="D25" s="365" t="s">
        <v>72</v>
      </c>
      <c r="E25" s="369">
        <v>4.771</v>
      </c>
      <c r="F25" s="365" t="s">
        <v>70</v>
      </c>
      <c r="G25" s="373">
        <f t="shared" si="0"/>
        <v>0</v>
      </c>
    </row>
    <row r="26" spans="1:7" ht="12.75">
      <c r="A26" s="291" t="s">
        <v>103</v>
      </c>
      <c r="C26" s="373">
        <f>'Data Entry'!I42</f>
        <v>0</v>
      </c>
      <c r="D26" s="365" t="s">
        <v>72</v>
      </c>
      <c r="E26" s="369">
        <v>6.024</v>
      </c>
      <c r="F26" s="365" t="s">
        <v>70</v>
      </c>
      <c r="G26" s="373">
        <f t="shared" si="0"/>
        <v>0</v>
      </c>
    </row>
    <row r="27" spans="1:7" ht="12.75">
      <c r="A27" s="291" t="s">
        <v>104</v>
      </c>
      <c r="C27" s="373">
        <f>'Data Entry'!I43</f>
        <v>0</v>
      </c>
      <c r="D27" s="365" t="s">
        <v>72</v>
      </c>
      <c r="E27" s="369">
        <v>5.833</v>
      </c>
      <c r="F27" s="365" t="s">
        <v>70</v>
      </c>
      <c r="G27" s="373">
        <f t="shared" si="0"/>
        <v>0</v>
      </c>
    </row>
    <row r="28" spans="1:7" ht="12.75">
      <c r="A28" s="291" t="s">
        <v>152</v>
      </c>
      <c r="C28" s="373">
        <f>'Data Entry'!I44</f>
        <v>0</v>
      </c>
      <c r="D28" s="365" t="s">
        <v>72</v>
      </c>
      <c r="E28" s="369">
        <v>7.947</v>
      </c>
      <c r="F28" s="365" t="s">
        <v>70</v>
      </c>
      <c r="G28" s="373">
        <f t="shared" si="0"/>
        <v>0</v>
      </c>
    </row>
    <row r="29" spans="1:7" ht="12.75">
      <c r="A29" s="291" t="s">
        <v>153</v>
      </c>
      <c r="C29" s="373">
        <f>'Data Entry'!I45</f>
        <v>0</v>
      </c>
      <c r="D29" s="365" t="s">
        <v>72</v>
      </c>
      <c r="E29" s="369">
        <v>3.158</v>
      </c>
      <c r="F29" s="365" t="s">
        <v>70</v>
      </c>
      <c r="G29" s="373">
        <f t="shared" si="0"/>
        <v>0</v>
      </c>
    </row>
    <row r="30" spans="1:7" ht="12.75">
      <c r="A30" s="291" t="s">
        <v>154</v>
      </c>
      <c r="C30" s="373">
        <f>'Data Entry'!I46</f>
        <v>0</v>
      </c>
      <c r="D30" s="365" t="s">
        <v>72</v>
      </c>
      <c r="E30" s="369">
        <v>6.773</v>
      </c>
      <c r="F30" s="365" t="s">
        <v>70</v>
      </c>
      <c r="G30" s="373">
        <f t="shared" si="0"/>
        <v>0</v>
      </c>
    </row>
    <row r="31" spans="1:7" ht="12.75">
      <c r="A31" s="291" t="s">
        <v>105</v>
      </c>
      <c r="C31" s="373">
        <f>'Data Entry'!I47</f>
        <v>0</v>
      </c>
      <c r="D31" s="365" t="s">
        <v>72</v>
      </c>
      <c r="E31" s="369">
        <v>3.595</v>
      </c>
      <c r="F31" s="365" t="s">
        <v>70</v>
      </c>
      <c r="G31" s="373">
        <f t="shared" si="0"/>
        <v>0</v>
      </c>
    </row>
    <row r="32" spans="1:7" ht="12.75">
      <c r="A32" s="291" t="s">
        <v>108</v>
      </c>
      <c r="C32" s="373">
        <f>'Data Entry'!I48</f>
        <v>0</v>
      </c>
      <c r="D32" s="365" t="s">
        <v>72</v>
      </c>
      <c r="E32" s="369">
        <v>0.003</v>
      </c>
      <c r="F32" s="365" t="s">
        <v>70</v>
      </c>
      <c r="G32" s="373">
        <f t="shared" si="0"/>
        <v>0</v>
      </c>
    </row>
    <row r="33" spans="1:7" ht="12.75">
      <c r="A33" s="291" t="s">
        <v>155</v>
      </c>
      <c r="C33" s="373">
        <f>'Data Entry'!I49</f>
        <v>0</v>
      </c>
      <c r="D33" s="365" t="s">
        <v>72</v>
      </c>
      <c r="E33" s="369">
        <v>4.822</v>
      </c>
      <c r="F33" s="365" t="s">
        <v>70</v>
      </c>
      <c r="G33" s="373">
        <f t="shared" si="0"/>
        <v>0</v>
      </c>
    </row>
    <row r="34" spans="1:7" ht="12.75">
      <c r="A34" s="291" t="s">
        <v>106</v>
      </c>
      <c r="C34" s="373">
        <f>'Data Entry'!I50</f>
        <v>0</v>
      </c>
      <c r="D34" s="365" t="s">
        <v>72</v>
      </c>
      <c r="E34" s="369">
        <v>4.421</v>
      </c>
      <c r="F34" s="365" t="s">
        <v>70</v>
      </c>
      <c r="G34" s="373">
        <f t="shared" si="0"/>
        <v>0</v>
      </c>
    </row>
    <row r="35" spans="1:7" ht="12.75">
      <c r="A35" s="291" t="s">
        <v>107</v>
      </c>
      <c r="C35" s="373">
        <f>'Data Entry'!I51</f>
        <v>0</v>
      </c>
      <c r="D35" s="365" t="s">
        <v>72</v>
      </c>
      <c r="E35" s="369">
        <v>4.806</v>
      </c>
      <c r="F35" s="365" t="s">
        <v>70</v>
      </c>
      <c r="G35" s="389">
        <f t="shared" si="0"/>
        <v>0</v>
      </c>
    </row>
    <row r="36" spans="1:7" ht="12.75">
      <c r="A36" s="307" t="s">
        <v>156</v>
      </c>
      <c r="G36" s="390">
        <f>SUM(G22:G35)</f>
        <v>0</v>
      </c>
    </row>
    <row r="37" ht="12.75">
      <c r="A37" s="374"/>
    </row>
    <row r="39" spans="1:10" ht="12.75">
      <c r="A39" s="677" t="s">
        <v>150</v>
      </c>
      <c r="B39" s="677"/>
      <c r="C39" s="677"/>
      <c r="D39" s="677"/>
      <c r="E39" s="677"/>
      <c r="F39" s="677"/>
      <c r="G39" s="677"/>
      <c r="H39" s="677"/>
      <c r="I39" s="677"/>
      <c r="J39" s="677"/>
    </row>
    <row r="40" spans="1:10" ht="12.75">
      <c r="A40" s="677" t="s">
        <v>133</v>
      </c>
      <c r="B40" s="677"/>
      <c r="C40" s="677"/>
      <c r="D40" s="677"/>
      <c r="E40" s="677"/>
      <c r="F40" s="677"/>
      <c r="G40" s="677"/>
      <c r="H40" s="677"/>
      <c r="I40" s="677"/>
      <c r="J40" s="677"/>
    </row>
    <row r="41" spans="1:10" ht="12.75">
      <c r="A41" s="677" t="s">
        <v>151</v>
      </c>
      <c r="B41" s="677"/>
      <c r="C41" s="677"/>
      <c r="D41" s="677"/>
      <c r="E41" s="677"/>
      <c r="F41" s="677"/>
      <c r="G41" s="677"/>
      <c r="H41" s="677"/>
      <c r="I41" s="677"/>
      <c r="J41" s="677"/>
    </row>
    <row r="42" ht="12.75">
      <c r="J42" s="307" t="s">
        <v>213</v>
      </c>
    </row>
    <row r="44" spans="1:4" ht="12.75">
      <c r="A44" s="397" t="s">
        <v>134</v>
      </c>
      <c r="B44" s="398" t="s">
        <v>63</v>
      </c>
      <c r="C44" s="399" t="s">
        <v>64</v>
      </c>
      <c r="D44" s="398" t="s">
        <v>487</v>
      </c>
    </row>
    <row r="45" spans="1:4" ht="12.75">
      <c r="A45" s="387" t="s">
        <v>159</v>
      </c>
      <c r="B45" s="366">
        <f>'Data Entry'!I18</f>
        <v>0</v>
      </c>
      <c r="C45" s="366">
        <f>'Data Entry'!L18</f>
        <v>0</v>
      </c>
      <c r="D45" s="366">
        <f>SUM(B45:C45)</f>
        <v>0</v>
      </c>
    </row>
    <row r="48" ht="11.25" customHeight="1"/>
    <row r="49" spans="1:7" ht="42" customHeight="1">
      <c r="A49" s="375" t="s">
        <v>98</v>
      </c>
      <c r="C49" s="325" t="s">
        <v>97</v>
      </c>
      <c r="E49" s="368" t="s">
        <v>65</v>
      </c>
      <c r="G49" s="368" t="s">
        <v>99</v>
      </c>
    </row>
    <row r="50" spans="1:7" ht="12.75">
      <c r="A50" s="291" t="s">
        <v>63</v>
      </c>
      <c r="C50" s="366">
        <f>B45</f>
        <v>0</v>
      </c>
      <c r="D50" s="365" t="s">
        <v>72</v>
      </c>
      <c r="E50" s="369">
        <f>IF('Data Entry'!I20&gt;0,IF('Data Entry'!I20&lt;100,Calculations!L9,IF('Data Entry'!I20&lt;500,Calculations!L17,IF('Data Entry'!I20&lt;600,Calculations!L25,Calculations!L27))),0)</f>
        <v>0</v>
      </c>
      <c r="F50" s="365" t="s">
        <v>70</v>
      </c>
      <c r="G50" s="366">
        <f>C50*E50</f>
        <v>0</v>
      </c>
    </row>
    <row r="51" spans="1:7" ht="12.75">
      <c r="A51" s="385" t="s">
        <v>64</v>
      </c>
      <c r="C51" s="370">
        <f>C45</f>
        <v>0</v>
      </c>
      <c r="D51" s="365" t="s">
        <v>72</v>
      </c>
      <c r="E51" s="369">
        <f>IF('Data Entry'!L20&gt;0,IF('Data Entry'!L20&lt;100,Calculations!N9,IF('Data Entry'!L20&lt;500,Calculations!N17,IF('Data Entry'!L20&lt;600,Calculations!N25,Calculations!N27))),0)</f>
        <v>1.268</v>
      </c>
      <c r="F51" s="365" t="s">
        <v>70</v>
      </c>
      <c r="G51" s="370">
        <f>C51*E51</f>
        <v>0</v>
      </c>
    </row>
    <row r="52" spans="1:7" ht="12.75">
      <c r="A52" s="383" t="s">
        <v>100</v>
      </c>
      <c r="C52" s="371">
        <f>SUM(C50:C51)</f>
        <v>0</v>
      </c>
      <c r="G52" s="371">
        <f>SUM(G50:G51)</f>
        <v>0</v>
      </c>
    </row>
    <row r="56" spans="1:7" ht="42" customHeight="1">
      <c r="A56" s="372" t="s">
        <v>157</v>
      </c>
      <c r="C56" s="368" t="s">
        <v>165</v>
      </c>
      <c r="E56" s="368" t="s">
        <v>65</v>
      </c>
      <c r="G56" s="368" t="s">
        <v>166</v>
      </c>
    </row>
    <row r="57" spans="1:7" ht="12.75">
      <c r="A57" s="291" t="s">
        <v>80</v>
      </c>
      <c r="C57" s="373">
        <f>'Data Entry'!J38</f>
        <v>0</v>
      </c>
      <c r="D57" s="365" t="s">
        <v>72</v>
      </c>
      <c r="E57" s="369">
        <v>0.04</v>
      </c>
      <c r="F57" s="365" t="s">
        <v>70</v>
      </c>
      <c r="G57" s="373">
        <f>C57*E57</f>
        <v>0</v>
      </c>
    </row>
    <row r="58" spans="1:7" ht="12.75">
      <c r="A58" s="291" t="s">
        <v>81</v>
      </c>
      <c r="C58" s="373">
        <f>'Data Entry'!J39</f>
        <v>0</v>
      </c>
      <c r="D58" s="365" t="s">
        <v>72</v>
      </c>
      <c r="E58" s="369">
        <v>0.06</v>
      </c>
      <c r="F58" s="365" t="s">
        <v>70</v>
      </c>
      <c r="G58" s="373">
        <f aca="true" t="shared" si="1" ref="G58:G69">C58*E58</f>
        <v>0</v>
      </c>
    </row>
    <row r="59" spans="1:7" ht="12.75">
      <c r="A59" s="291" t="s">
        <v>101</v>
      </c>
      <c r="C59" s="373">
        <f>'Data Entry'!J40</f>
        <v>0</v>
      </c>
      <c r="D59" s="365" t="s">
        <v>72</v>
      </c>
      <c r="E59" s="369">
        <v>0.115</v>
      </c>
      <c r="F59" s="365" t="s">
        <v>70</v>
      </c>
      <c r="G59" s="373">
        <f t="shared" si="1"/>
        <v>0</v>
      </c>
    </row>
    <row r="60" spans="1:7" ht="12.75">
      <c r="A60" s="291" t="s">
        <v>102</v>
      </c>
      <c r="C60" s="373">
        <f>'Data Entry'!J41</f>
        <v>0</v>
      </c>
      <c r="D60" s="365" t="s">
        <v>72</v>
      </c>
      <c r="E60" s="369">
        <v>4.771</v>
      </c>
      <c r="F60" s="365" t="s">
        <v>70</v>
      </c>
      <c r="G60" s="373">
        <f t="shared" si="1"/>
        <v>0</v>
      </c>
    </row>
    <row r="61" spans="1:7" ht="12.75">
      <c r="A61" s="291" t="s">
        <v>103</v>
      </c>
      <c r="C61" s="373">
        <f>'Data Entry'!J42</f>
        <v>0</v>
      </c>
      <c r="D61" s="365" t="s">
        <v>72</v>
      </c>
      <c r="E61" s="369">
        <v>6.024</v>
      </c>
      <c r="F61" s="365" t="s">
        <v>70</v>
      </c>
      <c r="G61" s="373">
        <f t="shared" si="1"/>
        <v>0</v>
      </c>
    </row>
    <row r="62" spans="1:7" ht="12.75">
      <c r="A62" s="291" t="s">
        <v>104</v>
      </c>
      <c r="C62" s="373">
        <f>'Data Entry'!J43</f>
        <v>0</v>
      </c>
      <c r="D62" s="365" t="s">
        <v>72</v>
      </c>
      <c r="E62" s="369">
        <v>5.833</v>
      </c>
      <c r="F62" s="365" t="s">
        <v>70</v>
      </c>
      <c r="G62" s="373">
        <f t="shared" si="1"/>
        <v>0</v>
      </c>
    </row>
    <row r="63" spans="1:7" ht="12.75">
      <c r="A63" s="291" t="s">
        <v>152</v>
      </c>
      <c r="C63" s="373">
        <f>'Data Entry'!J44</f>
        <v>0</v>
      </c>
      <c r="D63" s="365" t="s">
        <v>72</v>
      </c>
      <c r="E63" s="369">
        <v>7.947</v>
      </c>
      <c r="F63" s="365" t="s">
        <v>70</v>
      </c>
      <c r="G63" s="373">
        <f t="shared" si="1"/>
        <v>0</v>
      </c>
    </row>
    <row r="64" spans="1:7" ht="12.75">
      <c r="A64" s="291" t="s">
        <v>153</v>
      </c>
      <c r="C64" s="373">
        <f>'Data Entry'!J45</f>
        <v>0</v>
      </c>
      <c r="D64" s="365" t="s">
        <v>72</v>
      </c>
      <c r="E64" s="369">
        <v>3.158</v>
      </c>
      <c r="F64" s="365" t="s">
        <v>70</v>
      </c>
      <c r="G64" s="373">
        <f t="shared" si="1"/>
        <v>0</v>
      </c>
    </row>
    <row r="65" spans="1:7" ht="12.75">
      <c r="A65" s="291" t="s">
        <v>154</v>
      </c>
      <c r="C65" s="373">
        <f>'Data Entry'!J46</f>
        <v>0</v>
      </c>
      <c r="D65" s="365" t="s">
        <v>72</v>
      </c>
      <c r="E65" s="369">
        <v>6.773</v>
      </c>
      <c r="F65" s="365" t="s">
        <v>70</v>
      </c>
      <c r="G65" s="373">
        <f t="shared" si="1"/>
        <v>0</v>
      </c>
    </row>
    <row r="66" spans="1:7" ht="12.75">
      <c r="A66" s="291" t="s">
        <v>108</v>
      </c>
      <c r="C66" s="373">
        <f>'Data Entry'!J48</f>
        <v>0</v>
      </c>
      <c r="D66" s="365" t="s">
        <v>72</v>
      </c>
      <c r="E66" s="369">
        <v>0.003</v>
      </c>
      <c r="F66" s="365" t="s">
        <v>70</v>
      </c>
      <c r="G66" s="373">
        <f t="shared" si="1"/>
        <v>0</v>
      </c>
    </row>
    <row r="67" spans="1:7" ht="12.75">
      <c r="A67" s="291" t="s">
        <v>155</v>
      </c>
      <c r="C67" s="373">
        <f>'Data Entry'!J49</f>
        <v>0</v>
      </c>
      <c r="D67" s="365" t="s">
        <v>72</v>
      </c>
      <c r="E67" s="369">
        <v>4.822</v>
      </c>
      <c r="F67" s="365" t="s">
        <v>70</v>
      </c>
      <c r="G67" s="373">
        <f t="shared" si="1"/>
        <v>0</v>
      </c>
    </row>
    <row r="68" spans="1:7" ht="12.75">
      <c r="A68" s="291" t="s">
        <v>106</v>
      </c>
      <c r="C68" s="373">
        <f>'Data Entry'!J50</f>
        <v>0</v>
      </c>
      <c r="D68" s="365" t="s">
        <v>72</v>
      </c>
      <c r="E68" s="369">
        <v>4.421</v>
      </c>
      <c r="F68" s="365" t="s">
        <v>70</v>
      </c>
      <c r="G68" s="373">
        <f t="shared" si="1"/>
        <v>0</v>
      </c>
    </row>
    <row r="69" spans="1:7" ht="12.75">
      <c r="A69" s="291" t="s">
        <v>107</v>
      </c>
      <c r="C69" s="373">
        <f>'Data Entry'!J51</f>
        <v>0</v>
      </c>
      <c r="D69" s="365" t="s">
        <v>72</v>
      </c>
      <c r="E69" s="369">
        <v>4.806</v>
      </c>
      <c r="F69" s="365" t="s">
        <v>70</v>
      </c>
      <c r="G69" s="389">
        <f t="shared" si="1"/>
        <v>0</v>
      </c>
    </row>
    <row r="70" spans="1:7" ht="12.75">
      <c r="A70" s="307" t="s">
        <v>156</v>
      </c>
      <c r="G70" s="390">
        <f>SUM(G57:G69)</f>
        <v>0</v>
      </c>
    </row>
    <row r="71" ht="12.75">
      <c r="A71" s="374"/>
    </row>
    <row r="73" spans="1:10" ht="12.75">
      <c r="A73" s="677" t="s">
        <v>150</v>
      </c>
      <c r="B73" s="677"/>
      <c r="C73" s="677"/>
      <c r="D73" s="677"/>
      <c r="E73" s="677"/>
      <c r="F73" s="677"/>
      <c r="G73" s="677"/>
      <c r="H73" s="677"/>
      <c r="I73" s="677"/>
      <c r="J73" s="677"/>
    </row>
    <row r="74" spans="1:10" ht="12.75">
      <c r="A74" s="677" t="s">
        <v>133</v>
      </c>
      <c r="B74" s="677"/>
      <c r="C74" s="677"/>
      <c r="D74" s="677"/>
      <c r="E74" s="677"/>
      <c r="F74" s="677"/>
      <c r="G74" s="677"/>
      <c r="H74" s="677"/>
      <c r="I74" s="677"/>
      <c r="J74" s="677"/>
    </row>
    <row r="75" spans="1:10" ht="12.75">
      <c r="A75" s="677" t="s">
        <v>151</v>
      </c>
      <c r="B75" s="677"/>
      <c r="C75" s="677"/>
      <c r="D75" s="677"/>
      <c r="E75" s="677"/>
      <c r="F75" s="677"/>
      <c r="G75" s="677"/>
      <c r="H75" s="677"/>
      <c r="I75" s="677"/>
      <c r="J75" s="677"/>
    </row>
    <row r="76" ht="12.75">
      <c r="J76" s="307" t="s">
        <v>215</v>
      </c>
    </row>
    <row r="78" spans="1:4" ht="12.75">
      <c r="A78" s="397" t="s">
        <v>135</v>
      </c>
      <c r="B78" s="398" t="s">
        <v>63</v>
      </c>
      <c r="C78" s="399" t="s">
        <v>64</v>
      </c>
      <c r="D78" s="398" t="s">
        <v>487</v>
      </c>
    </row>
    <row r="79" spans="1:4" ht="12.75">
      <c r="A79" s="387" t="s">
        <v>158</v>
      </c>
      <c r="B79" s="366">
        <f>'Data Entry'!I19</f>
        <v>0</v>
      </c>
      <c r="C79" s="366">
        <f>'Data Entry'!L19</f>
        <v>0</v>
      </c>
      <c r="D79" s="366">
        <f>SUM(B79:C79)</f>
        <v>0</v>
      </c>
    </row>
    <row r="82" ht="11.25" customHeight="1"/>
    <row r="83" spans="1:7" ht="42" customHeight="1">
      <c r="A83" s="375" t="s">
        <v>98</v>
      </c>
      <c r="C83" s="325" t="s">
        <v>97</v>
      </c>
      <c r="E83" s="368" t="s">
        <v>65</v>
      </c>
      <c r="G83" s="368" t="s">
        <v>99</v>
      </c>
    </row>
    <row r="84" spans="1:7" ht="12.75">
      <c r="A84" s="291" t="s">
        <v>63</v>
      </c>
      <c r="C84" s="366">
        <f>B79</f>
        <v>0</v>
      </c>
      <c r="D84" s="365" t="s">
        <v>72</v>
      </c>
      <c r="E84" s="369">
        <f>IF('Data Entry'!I20&gt;0,IF('Data Entry'!I20&lt;100,Calculations!L9,IF('Data Entry'!I20&lt;500,Calculations!L17,IF('Data Entry'!I20&lt;600,Calculations!L25,Calculations!L27))),0)</f>
        <v>0</v>
      </c>
      <c r="F84" s="365" t="s">
        <v>70</v>
      </c>
      <c r="G84" s="366">
        <f>C84*E84</f>
        <v>0</v>
      </c>
    </row>
    <row r="85" spans="1:7" ht="12.75">
      <c r="A85" s="385" t="s">
        <v>64</v>
      </c>
      <c r="C85" s="370">
        <f>C79</f>
        <v>0</v>
      </c>
      <c r="D85" s="365" t="s">
        <v>72</v>
      </c>
      <c r="E85" s="369">
        <f>IF('Data Entry'!L20&gt;0,IF('Data Entry'!L20&lt;100,Calculations!N9,IF('Data Entry'!L20&lt;500,Calculations!N17,IF('Data Entry'!L20&lt;600,Calculations!N25,Calculations!N27))),0)</f>
        <v>1.268</v>
      </c>
      <c r="F85" s="365" t="s">
        <v>70</v>
      </c>
      <c r="G85" s="370">
        <f>C85*E85</f>
        <v>0</v>
      </c>
    </row>
    <row r="86" spans="1:7" ht="12.75">
      <c r="A86" s="383" t="s">
        <v>100</v>
      </c>
      <c r="C86" s="371">
        <f>SUM(C84:C85)</f>
        <v>0</v>
      </c>
      <c r="G86" s="371">
        <f>SUM(G84:G85)</f>
        <v>0</v>
      </c>
    </row>
    <row r="90" spans="1:7" ht="42" customHeight="1">
      <c r="A90" s="372" t="s">
        <v>161</v>
      </c>
      <c r="C90" s="368" t="s">
        <v>165</v>
      </c>
      <c r="E90" s="368" t="s">
        <v>65</v>
      </c>
      <c r="G90" s="368" t="s">
        <v>166</v>
      </c>
    </row>
    <row r="91" spans="1:7" ht="12.75">
      <c r="A91" s="291" t="s">
        <v>80</v>
      </c>
      <c r="C91" s="373">
        <f>'Data Entry'!K38</f>
        <v>0</v>
      </c>
      <c r="D91" s="365" t="s">
        <v>72</v>
      </c>
      <c r="E91" s="369">
        <v>0.04</v>
      </c>
      <c r="F91" s="365" t="s">
        <v>70</v>
      </c>
      <c r="G91" s="373">
        <f>C91*E91</f>
        <v>0</v>
      </c>
    </row>
    <row r="92" spans="1:7" ht="12.75">
      <c r="A92" s="291" t="s">
        <v>81</v>
      </c>
      <c r="C92" s="373">
        <f>'Data Entry'!K39</f>
        <v>0</v>
      </c>
      <c r="D92" s="365" t="s">
        <v>72</v>
      </c>
      <c r="E92" s="369">
        <v>0.06</v>
      </c>
      <c r="F92" s="365" t="s">
        <v>70</v>
      </c>
      <c r="G92" s="373">
        <f aca="true" t="shared" si="2" ref="G92:G103">C92*E92</f>
        <v>0</v>
      </c>
    </row>
    <row r="93" spans="1:7" ht="12.75">
      <c r="A93" s="291" t="s">
        <v>101</v>
      </c>
      <c r="C93" s="373">
        <f>'Data Entry'!K40</f>
        <v>0</v>
      </c>
      <c r="D93" s="365" t="s">
        <v>72</v>
      </c>
      <c r="E93" s="369">
        <v>0.115</v>
      </c>
      <c r="F93" s="365" t="s">
        <v>70</v>
      </c>
      <c r="G93" s="373">
        <f t="shared" si="2"/>
        <v>0</v>
      </c>
    </row>
    <row r="94" spans="1:7" ht="12.75">
      <c r="A94" s="291" t="s">
        <v>102</v>
      </c>
      <c r="C94" s="373">
        <f>'Data Entry'!K41</f>
        <v>0</v>
      </c>
      <c r="D94" s="365" t="s">
        <v>72</v>
      </c>
      <c r="E94" s="369">
        <v>4.771</v>
      </c>
      <c r="F94" s="365" t="s">
        <v>70</v>
      </c>
      <c r="G94" s="373">
        <f t="shared" si="2"/>
        <v>0</v>
      </c>
    </row>
    <row r="95" spans="1:7" ht="12.75">
      <c r="A95" s="291" t="s">
        <v>103</v>
      </c>
      <c r="C95" s="373">
        <f>'Data Entry'!K42</f>
        <v>0</v>
      </c>
      <c r="D95" s="365" t="s">
        <v>72</v>
      </c>
      <c r="E95" s="369">
        <v>6.024</v>
      </c>
      <c r="F95" s="365" t="s">
        <v>70</v>
      </c>
      <c r="G95" s="373">
        <f t="shared" si="2"/>
        <v>0</v>
      </c>
    </row>
    <row r="96" spans="1:7" ht="12.75">
      <c r="A96" s="291" t="s">
        <v>104</v>
      </c>
      <c r="C96" s="373">
        <f>'Data Entry'!K43</f>
        <v>0</v>
      </c>
      <c r="D96" s="365" t="s">
        <v>72</v>
      </c>
      <c r="E96" s="369">
        <v>5.833</v>
      </c>
      <c r="F96" s="365" t="s">
        <v>70</v>
      </c>
      <c r="G96" s="373">
        <f t="shared" si="2"/>
        <v>0</v>
      </c>
    </row>
    <row r="97" spans="1:7" ht="12.75">
      <c r="A97" s="291" t="s">
        <v>152</v>
      </c>
      <c r="C97" s="373">
        <f>'Data Entry'!K44</f>
        <v>0</v>
      </c>
      <c r="D97" s="365" t="s">
        <v>72</v>
      </c>
      <c r="E97" s="369">
        <v>7.947</v>
      </c>
      <c r="F97" s="365" t="s">
        <v>70</v>
      </c>
      <c r="G97" s="373">
        <f t="shared" si="2"/>
        <v>0</v>
      </c>
    </row>
    <row r="98" spans="1:7" ht="12.75">
      <c r="A98" s="291" t="s">
        <v>153</v>
      </c>
      <c r="C98" s="373">
        <f>'Data Entry'!K45</f>
        <v>0</v>
      </c>
      <c r="D98" s="365" t="s">
        <v>72</v>
      </c>
      <c r="E98" s="369">
        <v>3.158</v>
      </c>
      <c r="F98" s="365" t="s">
        <v>70</v>
      </c>
      <c r="G98" s="373">
        <f t="shared" si="2"/>
        <v>0</v>
      </c>
    </row>
    <row r="99" spans="1:7" ht="12.75">
      <c r="A99" s="291" t="s">
        <v>154</v>
      </c>
      <c r="C99" s="373">
        <f>'Data Entry'!K46</f>
        <v>0</v>
      </c>
      <c r="D99" s="365" t="s">
        <v>72</v>
      </c>
      <c r="E99" s="369">
        <v>6.773</v>
      </c>
      <c r="F99" s="365" t="s">
        <v>70</v>
      </c>
      <c r="G99" s="373">
        <f t="shared" si="2"/>
        <v>0</v>
      </c>
    </row>
    <row r="100" spans="1:7" ht="12.75">
      <c r="A100" s="291" t="s">
        <v>108</v>
      </c>
      <c r="C100" s="373">
        <f>'Data Entry'!K48</f>
        <v>0</v>
      </c>
      <c r="D100" s="365" t="s">
        <v>72</v>
      </c>
      <c r="E100" s="369">
        <v>0.003</v>
      </c>
      <c r="F100" s="365" t="s">
        <v>70</v>
      </c>
      <c r="G100" s="373">
        <f t="shared" si="2"/>
        <v>0</v>
      </c>
    </row>
    <row r="101" spans="1:7" ht="12.75">
      <c r="A101" s="291" t="s">
        <v>155</v>
      </c>
      <c r="C101" s="373">
        <f>'Data Entry'!K49</f>
        <v>0</v>
      </c>
      <c r="D101" s="365" t="s">
        <v>72</v>
      </c>
      <c r="E101" s="369">
        <v>4.822</v>
      </c>
      <c r="F101" s="365" t="s">
        <v>70</v>
      </c>
      <c r="G101" s="373">
        <f t="shared" si="2"/>
        <v>0</v>
      </c>
    </row>
    <row r="102" spans="1:7" ht="12.75">
      <c r="A102" s="291" t="s">
        <v>106</v>
      </c>
      <c r="C102" s="373">
        <f>'Data Entry'!K50</f>
        <v>0</v>
      </c>
      <c r="D102" s="365" t="s">
        <v>72</v>
      </c>
      <c r="E102" s="369">
        <v>4.421</v>
      </c>
      <c r="F102" s="365" t="s">
        <v>70</v>
      </c>
      <c r="G102" s="373">
        <f t="shared" si="2"/>
        <v>0</v>
      </c>
    </row>
    <row r="103" spans="1:7" ht="12.75">
      <c r="A103" s="291" t="s">
        <v>107</v>
      </c>
      <c r="C103" s="373">
        <f>'Data Entry'!K51</f>
        <v>0</v>
      </c>
      <c r="D103" s="365" t="s">
        <v>72</v>
      </c>
      <c r="E103" s="369">
        <v>4.806</v>
      </c>
      <c r="F103" s="365" t="s">
        <v>70</v>
      </c>
      <c r="G103" s="389">
        <f t="shared" si="2"/>
        <v>0</v>
      </c>
    </row>
    <row r="104" spans="1:7" ht="12.75">
      <c r="A104" s="307" t="s">
        <v>156</v>
      </c>
      <c r="G104" s="390">
        <f>SUM(G91:G103)</f>
        <v>0</v>
      </c>
    </row>
    <row r="105" spans="1:7" ht="12.75">
      <c r="A105" s="307"/>
      <c r="G105" s="390"/>
    </row>
    <row r="106" spans="1:7" ht="12.75">
      <c r="A106" s="307"/>
      <c r="G106" s="390"/>
    </row>
    <row r="107" spans="1:10" ht="12.75">
      <c r="A107" s="677" t="s">
        <v>150</v>
      </c>
      <c r="B107" s="677"/>
      <c r="C107" s="677"/>
      <c r="D107" s="677"/>
      <c r="E107" s="677"/>
      <c r="F107" s="677"/>
      <c r="G107" s="677"/>
      <c r="H107" s="677"/>
      <c r="I107" s="677"/>
      <c r="J107" s="677"/>
    </row>
    <row r="108" spans="1:10" ht="12.75">
      <c r="A108" s="677" t="s">
        <v>133</v>
      </c>
      <c r="B108" s="677"/>
      <c r="C108" s="677"/>
      <c r="D108" s="677"/>
      <c r="E108" s="677"/>
      <c r="F108" s="677"/>
      <c r="G108" s="677"/>
      <c r="H108" s="677"/>
      <c r="I108" s="677"/>
      <c r="J108" s="677"/>
    </row>
    <row r="109" spans="1:10" ht="12.75">
      <c r="A109" s="677" t="s">
        <v>151</v>
      </c>
      <c r="B109" s="677"/>
      <c r="C109" s="677"/>
      <c r="D109" s="677"/>
      <c r="E109" s="677"/>
      <c r="F109" s="677"/>
      <c r="G109" s="677"/>
      <c r="H109" s="677"/>
      <c r="I109" s="677"/>
      <c r="J109" s="677"/>
    </row>
    <row r="110" spans="1:10" ht="12.75">
      <c r="A110" s="310"/>
      <c r="B110" s="310"/>
      <c r="C110" s="310"/>
      <c r="D110" s="310"/>
      <c r="E110" s="310"/>
      <c r="F110" s="310"/>
      <c r="G110" s="310"/>
      <c r="H110" s="310"/>
      <c r="I110" s="310"/>
      <c r="J110" s="307" t="s">
        <v>214</v>
      </c>
    </row>
    <row r="111" spans="1:9" ht="42" customHeight="1">
      <c r="A111" s="375" t="s">
        <v>160</v>
      </c>
      <c r="C111" s="325" t="s">
        <v>162</v>
      </c>
      <c r="D111" s="388"/>
      <c r="E111" s="368" t="s">
        <v>163</v>
      </c>
      <c r="I111" s="325" t="s">
        <v>136</v>
      </c>
    </row>
    <row r="112" spans="1:9" ht="12.75">
      <c r="A112" s="291" t="s">
        <v>96</v>
      </c>
      <c r="C112" s="366">
        <f>G17</f>
        <v>1014.4</v>
      </c>
      <c r="D112" s="365" t="s">
        <v>74</v>
      </c>
      <c r="E112" s="366">
        <f>G36</f>
        <v>0</v>
      </c>
      <c r="F112" s="365"/>
      <c r="H112" s="365" t="s">
        <v>70</v>
      </c>
      <c r="I112" s="366">
        <f>(C112+E112)</f>
        <v>1014.4</v>
      </c>
    </row>
    <row r="113" spans="1:9" ht="12.75">
      <c r="A113" s="291" t="s">
        <v>134</v>
      </c>
      <c r="C113" s="366">
        <f>G52</f>
        <v>0</v>
      </c>
      <c r="D113" s="365" t="s">
        <v>74</v>
      </c>
      <c r="E113" s="366">
        <f>G70</f>
        <v>0</v>
      </c>
      <c r="F113" s="365" t="s">
        <v>72</v>
      </c>
      <c r="G113" s="291">
        <v>0.95</v>
      </c>
      <c r="H113" s="365" t="s">
        <v>70</v>
      </c>
      <c r="I113" s="366">
        <f>(C113+E113)*0.95</f>
        <v>0</v>
      </c>
    </row>
    <row r="114" spans="1:9" ht="12.75">
      <c r="A114" s="291" t="s">
        <v>135</v>
      </c>
      <c r="C114" s="366">
        <f>G86</f>
        <v>0</v>
      </c>
      <c r="D114" s="365" t="s">
        <v>74</v>
      </c>
      <c r="E114" s="366">
        <f>G104</f>
        <v>0</v>
      </c>
      <c r="F114" s="365" t="s">
        <v>72</v>
      </c>
      <c r="G114" s="291">
        <v>0.85</v>
      </c>
      <c r="H114" s="365" t="s">
        <v>70</v>
      </c>
      <c r="I114" s="370">
        <f>(C114+E114)*0.85</f>
        <v>0</v>
      </c>
    </row>
    <row r="115" spans="5:9" ht="12.75">
      <c r="E115" s="380"/>
      <c r="I115" s="371">
        <f>SUM(I112:I114)</f>
        <v>1014.4</v>
      </c>
    </row>
    <row r="117" spans="1:7" ht="12.75">
      <c r="A117" s="375" t="s">
        <v>137</v>
      </c>
      <c r="E117" s="375" t="s">
        <v>111</v>
      </c>
      <c r="F117" s="367"/>
      <c r="G117" s="367"/>
    </row>
    <row r="118" spans="1:9" ht="12.75">
      <c r="A118" s="291" t="s">
        <v>91</v>
      </c>
      <c r="C118" s="366">
        <f>I115</f>
        <v>1014.4</v>
      </c>
      <c r="E118" s="291" t="s">
        <v>112</v>
      </c>
      <c r="H118" s="379">
        <f>'Data Entry'!N68</f>
        <v>0</v>
      </c>
      <c r="I118" s="379"/>
    </row>
    <row r="119" spans="1:8" ht="12.75">
      <c r="A119" s="291" t="s">
        <v>110</v>
      </c>
      <c r="C119" s="434">
        <f>Calculations!L70</f>
        <v>4150.43</v>
      </c>
      <c r="H119" s="367"/>
    </row>
    <row r="120" spans="1:8" ht="12.75">
      <c r="A120" s="291" t="s">
        <v>109</v>
      </c>
      <c r="C120" s="382">
        <f>C118*C119</f>
        <v>4210196.19</v>
      </c>
      <c r="H120" s="382">
        <f>H118</f>
        <v>0</v>
      </c>
    </row>
    <row r="121" spans="3:8" ht="12.75">
      <c r="C121" s="382"/>
      <c r="H121" s="382"/>
    </row>
    <row r="122" spans="1:3" ht="12.75">
      <c r="A122" s="291" t="s">
        <v>111</v>
      </c>
      <c r="C122" s="381">
        <f>H120</f>
        <v>0</v>
      </c>
    </row>
    <row r="123" spans="1:3" ht="12.75">
      <c r="A123" s="291" t="s">
        <v>138</v>
      </c>
      <c r="C123" s="382">
        <f>C120+C122</f>
        <v>4210196.19</v>
      </c>
    </row>
    <row r="125" spans="1:5" ht="12.75">
      <c r="A125" s="375" t="s">
        <v>139</v>
      </c>
      <c r="C125" s="325" t="s">
        <v>62</v>
      </c>
      <c r="D125" s="325" t="s">
        <v>63</v>
      </c>
      <c r="E125" s="376" t="s">
        <v>64</v>
      </c>
    </row>
    <row r="126" spans="1:5" ht="12.75">
      <c r="A126" s="291" t="s">
        <v>97</v>
      </c>
      <c r="C126" s="366">
        <f>B9</f>
        <v>0</v>
      </c>
      <c r="D126" s="366">
        <f>SUM(C9+B45+B79)</f>
        <v>0</v>
      </c>
      <c r="E126" s="366">
        <f>SUM(D9+C45+C79)</f>
        <v>800</v>
      </c>
    </row>
    <row r="127" spans="1:5" ht="12.75">
      <c r="A127" s="291" t="s">
        <v>140</v>
      </c>
      <c r="C127" s="488">
        <v>1843.14</v>
      </c>
      <c r="D127" s="488">
        <v>1843.14</v>
      </c>
      <c r="E127" s="488">
        <v>2148.15</v>
      </c>
    </row>
    <row r="128" spans="1:5" ht="12.75">
      <c r="A128" s="291" t="s">
        <v>139</v>
      </c>
      <c r="C128" s="379">
        <f>C127*C126</f>
        <v>0</v>
      </c>
      <c r="D128" s="379">
        <f>D127*D126</f>
        <v>0</v>
      </c>
      <c r="E128" s="379">
        <f>E127*E126</f>
        <v>1718520</v>
      </c>
    </row>
    <row r="130" spans="1:3" ht="12.75">
      <c r="A130" s="291" t="s">
        <v>141</v>
      </c>
      <c r="C130" s="382">
        <f>C128+D128+E128</f>
        <v>1718520</v>
      </c>
    </row>
    <row r="132" ht="12.75">
      <c r="A132" s="372" t="s">
        <v>142</v>
      </c>
    </row>
    <row r="133" spans="1:3" ht="12.75">
      <c r="A133" s="291" t="s">
        <v>138</v>
      </c>
      <c r="C133" s="379">
        <f>C123</f>
        <v>4210196.19</v>
      </c>
    </row>
    <row r="134" spans="1:3" ht="12.75">
      <c r="A134" s="291" t="s">
        <v>141</v>
      </c>
      <c r="C134" s="381">
        <f>C130</f>
        <v>1718520</v>
      </c>
    </row>
    <row r="135" spans="1:4" ht="12.75">
      <c r="A135" s="307" t="s">
        <v>143</v>
      </c>
      <c r="C135" s="382">
        <f>C133+C134</f>
        <v>5928716.19</v>
      </c>
      <c r="D135" s="291" t="s">
        <v>276</v>
      </c>
    </row>
    <row r="136" spans="4:6" ht="12.75">
      <c r="D136" s="324" t="s">
        <v>277</v>
      </c>
      <c r="E136" s="516" t="s">
        <v>273</v>
      </c>
      <c r="F136" s="380" t="s">
        <v>275</v>
      </c>
    </row>
    <row r="167" ht="30.75" customHeight="1"/>
    <row r="190" spans="1:10" ht="12.75">
      <c r="A190" s="307"/>
      <c r="B190" s="324"/>
      <c r="C190" s="377"/>
      <c r="D190" s="377"/>
      <c r="F190" s="324"/>
      <c r="G190" s="377"/>
      <c r="H190" s="377"/>
      <c r="I190" s="324"/>
      <c r="J190" s="378"/>
    </row>
  </sheetData>
  <sheetProtection sheet="1" formatCells="0" formatColumns="0" formatRows="0"/>
  <mergeCells count="15">
    <mergeCell ref="A4:J4"/>
    <mergeCell ref="A5:J5"/>
    <mergeCell ref="B1:C1"/>
    <mergeCell ref="A3:J3"/>
    <mergeCell ref="I1:J1"/>
    <mergeCell ref="E1:G1"/>
    <mergeCell ref="A107:J107"/>
    <mergeCell ref="A108:J108"/>
    <mergeCell ref="A109:J109"/>
    <mergeCell ref="A39:J39"/>
    <mergeCell ref="A40:J40"/>
    <mergeCell ref="A41:J41"/>
    <mergeCell ref="A73:J73"/>
    <mergeCell ref="A74:J74"/>
    <mergeCell ref="A75:J75"/>
  </mergeCells>
  <hyperlinks>
    <hyperlink ref="E136" location="Calculations!N117" display="Calculations"/>
  </hyperlinks>
  <printOptions/>
  <pageMargins left="0.7" right="0.7" top="0.75" bottom="0.75" header="0.3" footer="0.3"/>
  <pageSetup horizontalDpi="600" verticalDpi="600" orientation="landscape" scale="71" r:id="rId1"/>
  <headerFooter>
    <oddFooter>&amp;L&amp;"Arial,Bold"Rev. 5/19 Arizona Department of Education and Auditor General&amp;R&amp;"Arial,Bold"CHAR55</oddFooter>
  </headerFooter>
  <rowBreaks count="5" manualBreakCount="5">
    <brk id="38" max="255" man="1"/>
    <brk id="72" max="9" man="1"/>
    <brk id="106" max="9" man="1"/>
    <brk id="138" max="10" man="1"/>
    <brk id="164" max="10" man="1"/>
  </rowBreaks>
</worksheet>
</file>

<file path=xl/worksheets/sheet11.xml><?xml version="1.0" encoding="utf-8"?>
<worksheet xmlns="http://schemas.openxmlformats.org/spreadsheetml/2006/main" xmlns:r="http://schemas.openxmlformats.org/officeDocument/2006/relationships">
  <dimension ref="A1:F28"/>
  <sheetViews>
    <sheetView showGridLines="0" zoomScalePageLayoutView="0" workbookViewId="0" topLeftCell="B1">
      <pane ySplit="1" topLeftCell="A22" activePane="bottomLeft" state="frozen"/>
      <selection pane="topLeft" activeCell="A1" sqref="A1"/>
      <selection pane="bottomLeft" activeCell="K25" sqref="K25"/>
    </sheetView>
  </sheetViews>
  <sheetFormatPr defaultColWidth="9.140625" defaultRowHeight="12.75"/>
  <cols>
    <col min="1" max="1" width="13.00390625" style="185" customWidth="1"/>
    <col min="2" max="2" width="23.28125" style="187" customWidth="1"/>
    <col min="3" max="3" width="88.7109375" style="186" customWidth="1"/>
    <col min="4" max="4" width="8.8515625" style="186" customWidth="1"/>
  </cols>
  <sheetData>
    <row r="1" spans="1:4" ht="21.75" customHeight="1">
      <c r="A1" s="184" t="s">
        <v>504</v>
      </c>
      <c r="B1" s="184" t="s">
        <v>505</v>
      </c>
      <c r="C1" s="190" t="s">
        <v>520</v>
      </c>
      <c r="D1" s="184"/>
    </row>
    <row r="2" spans="1:6" ht="234" customHeight="1">
      <c r="A2" s="202" t="s">
        <v>507</v>
      </c>
      <c r="B2" s="191" t="s">
        <v>506</v>
      </c>
      <c r="C2" s="220" t="s">
        <v>256</v>
      </c>
      <c r="F2" s="186"/>
    </row>
    <row r="3" spans="1:3" ht="44.25" customHeight="1">
      <c r="A3" s="202" t="s">
        <v>507</v>
      </c>
      <c r="B3" s="191" t="s">
        <v>475</v>
      </c>
      <c r="C3" s="220" t="s">
        <v>531</v>
      </c>
    </row>
    <row r="4" spans="1:3" ht="97.5" customHeight="1">
      <c r="A4" s="202" t="s">
        <v>507</v>
      </c>
      <c r="B4" s="191" t="s">
        <v>364</v>
      </c>
      <c r="C4" s="220" t="s">
        <v>542</v>
      </c>
    </row>
    <row r="5" spans="1:3" ht="37.5" customHeight="1">
      <c r="A5" s="202" t="s">
        <v>507</v>
      </c>
      <c r="B5" s="191" t="s">
        <v>523</v>
      </c>
      <c r="C5" s="220" t="s">
        <v>257</v>
      </c>
    </row>
    <row r="6" spans="1:3" ht="122.25" customHeight="1">
      <c r="A6" s="202" t="s">
        <v>507</v>
      </c>
      <c r="B6" s="191" t="s">
        <v>56</v>
      </c>
      <c r="C6" s="220" t="s">
        <v>258</v>
      </c>
    </row>
    <row r="7" spans="1:3" ht="31.5" customHeight="1">
      <c r="A7" s="262" t="s">
        <v>54</v>
      </c>
      <c r="B7" s="191" t="s">
        <v>54</v>
      </c>
      <c r="C7" s="220" t="s">
        <v>55</v>
      </c>
    </row>
    <row r="8" spans="1:3" ht="50.25" customHeight="1">
      <c r="A8" s="202">
        <v>1</v>
      </c>
      <c r="B8" s="191" t="s">
        <v>506</v>
      </c>
      <c r="C8" s="220" t="s">
        <v>259</v>
      </c>
    </row>
    <row r="9" spans="1:3" ht="66" customHeight="1">
      <c r="A9" s="202">
        <v>1</v>
      </c>
      <c r="B9" s="191" t="s">
        <v>552</v>
      </c>
      <c r="C9" s="220" t="s">
        <v>553</v>
      </c>
    </row>
    <row r="10" spans="1:3" ht="60.75" customHeight="1">
      <c r="A10" s="202">
        <v>1</v>
      </c>
      <c r="B10" s="191" t="s">
        <v>519</v>
      </c>
      <c r="C10" s="220" t="s">
        <v>13</v>
      </c>
    </row>
    <row r="11" spans="1:3" ht="17.25" customHeight="1">
      <c r="A11" s="202"/>
      <c r="B11" s="191"/>
      <c r="C11" s="248" t="s">
        <v>14</v>
      </c>
    </row>
    <row r="12" spans="1:3" ht="49.5" customHeight="1">
      <c r="A12" s="202">
        <v>1</v>
      </c>
      <c r="B12" s="191" t="s">
        <v>554</v>
      </c>
      <c r="C12" s="220" t="s">
        <v>555</v>
      </c>
    </row>
    <row r="13" spans="1:3" ht="55.5" customHeight="1">
      <c r="A13" s="202">
        <v>1</v>
      </c>
      <c r="B13" s="191" t="s">
        <v>518</v>
      </c>
      <c r="C13" s="487" t="s">
        <v>260</v>
      </c>
    </row>
    <row r="14" spans="1:3" ht="91.5" customHeight="1">
      <c r="A14" s="202">
        <v>2</v>
      </c>
      <c r="B14" s="191" t="s">
        <v>524</v>
      </c>
      <c r="C14" s="220" t="s">
        <v>3</v>
      </c>
    </row>
    <row r="15" spans="1:3" ht="133.5" customHeight="1">
      <c r="A15" s="202">
        <v>2</v>
      </c>
      <c r="B15" s="191" t="s">
        <v>6</v>
      </c>
      <c r="C15" s="220" t="s">
        <v>266</v>
      </c>
    </row>
    <row r="16" spans="1:3" ht="102" customHeight="1">
      <c r="A16" s="202">
        <v>2</v>
      </c>
      <c r="B16" s="191" t="s">
        <v>7</v>
      </c>
      <c r="C16" s="220" t="s">
        <v>272</v>
      </c>
    </row>
    <row r="17" spans="1:3" ht="102" customHeight="1">
      <c r="A17" s="202">
        <v>2</v>
      </c>
      <c r="B17" s="191" t="s">
        <v>494</v>
      </c>
      <c r="C17" s="220" t="s">
        <v>522</v>
      </c>
    </row>
    <row r="18" spans="1:3" ht="66" customHeight="1">
      <c r="A18" s="202">
        <v>2</v>
      </c>
      <c r="B18" s="191" t="s">
        <v>509</v>
      </c>
      <c r="C18" s="220" t="s">
        <v>0</v>
      </c>
    </row>
    <row r="19" spans="1:3" ht="49.5" customHeight="1">
      <c r="A19" s="202">
        <v>2</v>
      </c>
      <c r="B19" s="191" t="s">
        <v>550</v>
      </c>
      <c r="C19" s="220" t="s">
        <v>549</v>
      </c>
    </row>
    <row r="20" spans="1:3" ht="56.25" customHeight="1">
      <c r="A20" s="202">
        <v>2</v>
      </c>
      <c r="B20" s="191" t="s">
        <v>546</v>
      </c>
      <c r="C20" s="220" t="s">
        <v>529</v>
      </c>
    </row>
    <row r="21" spans="1:3" ht="75" customHeight="1">
      <c r="A21" s="202">
        <v>2</v>
      </c>
      <c r="B21" s="191" t="s">
        <v>510</v>
      </c>
      <c r="C21" s="220" t="s">
        <v>1</v>
      </c>
    </row>
    <row r="22" spans="1:3" ht="116.25" customHeight="1">
      <c r="A22" s="202">
        <v>2</v>
      </c>
      <c r="B22" s="191" t="s">
        <v>508</v>
      </c>
      <c r="C22" s="220" t="s">
        <v>261</v>
      </c>
    </row>
    <row r="23" spans="1:3" ht="59.25" customHeight="1">
      <c r="A23" s="202">
        <v>2</v>
      </c>
      <c r="B23" s="191" t="s">
        <v>512</v>
      </c>
      <c r="C23" s="220" t="s">
        <v>511</v>
      </c>
    </row>
    <row r="24" spans="1:3" ht="48" customHeight="1">
      <c r="A24" s="202">
        <v>2</v>
      </c>
      <c r="B24" s="191" t="s">
        <v>517</v>
      </c>
      <c r="C24" s="220" t="s">
        <v>521</v>
      </c>
    </row>
    <row r="25" spans="1:3" ht="124.5" customHeight="1">
      <c r="A25" s="202">
        <v>3</v>
      </c>
      <c r="B25" s="191" t="s">
        <v>514</v>
      </c>
      <c r="C25" s="487" t="s">
        <v>265</v>
      </c>
    </row>
    <row r="26" spans="1:3" ht="63.75" customHeight="1">
      <c r="A26" s="202">
        <v>4</v>
      </c>
      <c r="B26" s="191" t="s">
        <v>262</v>
      </c>
      <c r="C26" s="487" t="s">
        <v>263</v>
      </c>
    </row>
    <row r="27" spans="1:3" ht="66" customHeight="1">
      <c r="A27" s="202">
        <v>4</v>
      </c>
      <c r="B27" s="191" t="s">
        <v>513</v>
      </c>
      <c r="C27" s="487" t="s">
        <v>264</v>
      </c>
    </row>
    <row r="28" spans="1:3" ht="45" customHeight="1">
      <c r="A28" s="215" t="s">
        <v>525</v>
      </c>
      <c r="B28" s="191" t="s">
        <v>506</v>
      </c>
      <c r="C28" s="220" t="s">
        <v>526</v>
      </c>
    </row>
  </sheetData>
  <sheetProtection sheet="1"/>
  <hyperlinks>
    <hyperlink ref="A2" location="Cover!A1" display="Cover"/>
    <hyperlink ref="A4" location="Cover!A1" display="Cover"/>
    <hyperlink ref="A8" location="'Page 1'!A1" display="'Page 1'!A1"/>
    <hyperlink ref="A12" location="'Page 1'!A1" display="'Page 1'!A1"/>
    <hyperlink ref="A14" location="'Page 2'!A1" display="'Page 2'!A1"/>
    <hyperlink ref="A17" location="'Page 2'!A1" display="'Page 2'!A1"/>
    <hyperlink ref="A22" location="'Page 2'!A1" display="'Page 2'!A1"/>
    <hyperlink ref="A25" location="'Page 3'!A1" display="'Page 3'!A1"/>
    <hyperlink ref="A26" location="'Page 4'!A1" display="'Page 4'!A1"/>
    <hyperlink ref="A27" location="'Page 4'!A1" display="'Page 4'!A1"/>
    <hyperlink ref="A9" location="'Page 1'!A1" display="'Page 1'!A1"/>
    <hyperlink ref="A10" location="'Page 1'!A1" display="'Page 1'!A1"/>
    <hyperlink ref="A13" location="'Page 1'!A1" display="'Page 1'!A1"/>
    <hyperlink ref="A18" location="'Page 2'!A1" display="'Page 2'!A1"/>
    <hyperlink ref="A20" location="'Page 2'!A1" display="'Page 2'!A1"/>
    <hyperlink ref="A21" location="'Page 2'!A1" display="'Page 2'!A1"/>
    <hyperlink ref="A5" location="Cover!A1" display="Cover"/>
    <hyperlink ref="A3" location="Cover!A1" display="Cover"/>
    <hyperlink ref="A28" location="'Budget Summary'!A1" display="Budget Summary"/>
    <hyperlink ref="A23" location="'Page 2'!A1" display="'Page 2'!A1"/>
    <hyperlink ref="A24" location="'Page 2'!A1" display="'Page 2'!A1"/>
    <hyperlink ref="A19" location="'Page 2'!A1" display="'Page 2'!A1"/>
    <hyperlink ref="A15" location="'Page 2'!A1" display="'Page 2'!A1"/>
    <hyperlink ref="A16" location="'Page 2'!A1" display="'Page 2'!A1"/>
    <hyperlink ref="C11" r:id="rId1" display="http://www.azed.gov/mowr/"/>
    <hyperlink ref="A6" location="Cover!A1" display="Cover"/>
    <hyperlink ref="A7" location="'Charter Contact Info'!A1" display="Charter Contact Info"/>
  </hyperlinks>
  <printOptions/>
  <pageMargins left="0.7" right="0.7" top="0.75" bottom="0.75" header="0.3" footer="0.3"/>
  <pageSetup horizontalDpi="600" verticalDpi="600" orientation="landscape" scale="97" r:id="rId2"/>
  <headerFooter scaleWithDoc="0">
    <oddFooter>&amp;L&amp;"Arial,Bold"Rev. 5/19 Arizona Department of Education and Auditor General&amp;R&amp;"Arial,Bold"Instructions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Z45"/>
  <sheetViews>
    <sheetView showGridLines="0" workbookViewId="0" topLeftCell="A1">
      <selection activeCell="C15" sqref="C15"/>
    </sheetView>
  </sheetViews>
  <sheetFormatPr defaultColWidth="9.140625" defaultRowHeight="12.75"/>
  <cols>
    <col min="1" max="1" width="19.00390625" style="0" customWidth="1"/>
    <col min="2" max="2" width="22.8515625" style="0" customWidth="1"/>
    <col min="3" max="3" width="9.57421875" style="0" customWidth="1"/>
    <col min="4" max="5" width="24.421875" style="0" customWidth="1"/>
    <col min="6" max="6" width="9.57421875" style="0" customWidth="1"/>
    <col min="7" max="7" width="41.7109375" style="0" customWidth="1"/>
    <col min="8" max="8" width="17.57421875" style="0" customWidth="1"/>
    <col min="26" max="26" width="9.140625" style="256" customWidth="1"/>
  </cols>
  <sheetData>
    <row r="1" spans="1:8" ht="12.75">
      <c r="A1" t="s">
        <v>285</v>
      </c>
      <c r="B1" s="568" t="str">
        <f>Cover!D1</f>
        <v>NORTH STAR CHARTER SCHOOL, INC.</v>
      </c>
      <c r="C1" s="568"/>
      <c r="E1" s="258" t="s">
        <v>40</v>
      </c>
      <c r="F1" s="257" t="str">
        <f>Cover!M1</f>
        <v>MARICOPA</v>
      </c>
      <c r="G1" s="258" t="s">
        <v>41</v>
      </c>
      <c r="H1" s="268" t="str">
        <f>[0]!CTD</f>
        <v>078945000</v>
      </c>
    </row>
    <row r="2" spans="2:8" ht="12.75">
      <c r="B2" s="261"/>
      <c r="C2" s="261"/>
      <c r="E2" s="258"/>
      <c r="F2" s="259"/>
      <c r="G2" s="258"/>
      <c r="H2" s="43"/>
    </row>
    <row r="3" spans="2:8" ht="12.75">
      <c r="B3" s="261"/>
      <c r="C3" s="261"/>
      <c r="E3" s="258"/>
      <c r="F3" s="259"/>
      <c r="G3" s="258"/>
      <c r="H3" s="43"/>
    </row>
    <row r="4" spans="2:8" ht="12.75">
      <c r="B4" s="261"/>
      <c r="C4" s="569" t="s">
        <v>52</v>
      </c>
      <c r="D4" s="569"/>
      <c r="E4" s="569"/>
      <c r="F4" s="569"/>
      <c r="G4" s="569"/>
      <c r="H4" s="569"/>
    </row>
    <row r="5" ht="12.75">
      <c r="Z5" s="256" t="s">
        <v>38</v>
      </c>
    </row>
    <row r="6" spans="3:26" ht="12.75">
      <c r="C6" s="266" t="s">
        <v>21</v>
      </c>
      <c r="D6" s="266" t="s">
        <v>22</v>
      </c>
      <c r="E6" s="266" t="s">
        <v>23</v>
      </c>
      <c r="F6" s="266" t="s">
        <v>24</v>
      </c>
      <c r="G6" s="266" t="s">
        <v>59</v>
      </c>
      <c r="H6" s="266" t="s">
        <v>25</v>
      </c>
      <c r="Z6" s="256" t="s">
        <v>27</v>
      </c>
    </row>
    <row r="7" spans="1:26" ht="12.75">
      <c r="A7" s="565" t="s">
        <v>17</v>
      </c>
      <c r="B7" s="566"/>
      <c r="C7" s="260" t="s">
        <v>240</v>
      </c>
      <c r="D7" s="260" t="s">
        <v>241</v>
      </c>
      <c r="E7" s="260" t="s">
        <v>242</v>
      </c>
      <c r="F7" s="260"/>
      <c r="G7" s="267" t="s">
        <v>284</v>
      </c>
      <c r="H7" s="265">
        <v>6239072661</v>
      </c>
      <c r="Z7" s="256" t="s">
        <v>26</v>
      </c>
    </row>
    <row r="8" spans="1:26" ht="12.75">
      <c r="A8" s="565" t="s">
        <v>17</v>
      </c>
      <c r="B8" s="566"/>
      <c r="C8" s="260"/>
      <c r="D8" s="260"/>
      <c r="E8" s="260"/>
      <c r="F8" s="260"/>
      <c r="G8" s="267"/>
      <c r="H8" s="265"/>
      <c r="Z8" s="256" t="s">
        <v>28</v>
      </c>
    </row>
    <row r="9" spans="1:26" ht="12.75">
      <c r="A9" s="565" t="s">
        <v>18</v>
      </c>
      <c r="B9" s="566"/>
      <c r="C9" s="260"/>
      <c r="D9" s="260"/>
      <c r="E9" s="260"/>
      <c r="F9" s="260"/>
      <c r="G9" s="267"/>
      <c r="H9" s="265"/>
      <c r="Z9" s="263" t="s">
        <v>29</v>
      </c>
    </row>
    <row r="10" spans="1:8" ht="12.75">
      <c r="A10" s="565" t="s">
        <v>16</v>
      </c>
      <c r="B10" s="566"/>
      <c r="C10" s="260" t="s">
        <v>240</v>
      </c>
      <c r="D10" s="260" t="s">
        <v>241</v>
      </c>
      <c r="E10" s="260" t="s">
        <v>242</v>
      </c>
      <c r="F10" s="260"/>
      <c r="G10" s="267" t="s">
        <v>284</v>
      </c>
      <c r="H10" s="265">
        <v>6239072661</v>
      </c>
    </row>
    <row r="11" spans="1:26" ht="12.75">
      <c r="A11" s="565" t="s">
        <v>15</v>
      </c>
      <c r="B11" s="566"/>
      <c r="C11" s="260" t="s">
        <v>243</v>
      </c>
      <c r="D11" s="260" t="s">
        <v>244</v>
      </c>
      <c r="E11" s="260" t="s">
        <v>245</v>
      </c>
      <c r="F11" s="260"/>
      <c r="G11" s="267" t="s">
        <v>246</v>
      </c>
      <c r="H11" s="265">
        <v>6239072661</v>
      </c>
      <c r="W11" s="85"/>
      <c r="Z11" s="256" t="s">
        <v>39</v>
      </c>
    </row>
    <row r="12" spans="1:26" ht="12.75">
      <c r="A12" s="565" t="s">
        <v>20</v>
      </c>
      <c r="B12" s="566"/>
      <c r="C12" s="260" t="s">
        <v>243</v>
      </c>
      <c r="D12" s="260" t="s">
        <v>247</v>
      </c>
      <c r="E12" s="260" t="s">
        <v>248</v>
      </c>
      <c r="F12" s="260"/>
      <c r="G12" s="267" t="s">
        <v>249</v>
      </c>
      <c r="H12" s="265">
        <v>6239072661</v>
      </c>
      <c r="W12" s="85"/>
      <c r="Z12" s="256" t="s">
        <v>34</v>
      </c>
    </row>
    <row r="13" spans="1:26" ht="12.75">
      <c r="A13" s="565" t="s">
        <v>19</v>
      </c>
      <c r="B13" s="566"/>
      <c r="C13" s="260" t="s">
        <v>240</v>
      </c>
      <c r="D13" s="260" t="s">
        <v>241</v>
      </c>
      <c r="E13" s="260" t="s">
        <v>242</v>
      </c>
      <c r="F13" s="260"/>
      <c r="G13" s="267" t="s">
        <v>284</v>
      </c>
      <c r="H13" s="265">
        <v>6239072661</v>
      </c>
      <c r="W13" s="85"/>
      <c r="Z13" s="256" t="s">
        <v>36</v>
      </c>
    </row>
    <row r="14" spans="1:26" ht="12.75">
      <c r="A14" s="565" t="s">
        <v>19</v>
      </c>
      <c r="B14" s="566"/>
      <c r="C14" s="260" t="s">
        <v>240</v>
      </c>
      <c r="D14" s="260" t="s">
        <v>250</v>
      </c>
      <c r="E14" s="260" t="s">
        <v>251</v>
      </c>
      <c r="F14" s="260"/>
      <c r="G14" s="267" t="s">
        <v>252</v>
      </c>
      <c r="H14" s="265">
        <v>6023002156</v>
      </c>
      <c r="W14" s="85"/>
      <c r="Z14" s="256" t="s">
        <v>30</v>
      </c>
    </row>
    <row r="15" spans="1:26" ht="12.75">
      <c r="A15" s="565" t="s">
        <v>19</v>
      </c>
      <c r="B15" s="566"/>
      <c r="C15" s="260"/>
      <c r="D15" s="260"/>
      <c r="E15" s="260"/>
      <c r="F15" s="260"/>
      <c r="G15" s="267"/>
      <c r="H15" s="265"/>
      <c r="W15" s="85"/>
      <c r="Z15" s="256" t="s">
        <v>35</v>
      </c>
    </row>
    <row r="16" spans="1:26" ht="12.75">
      <c r="A16" s="565" t="s">
        <v>19</v>
      </c>
      <c r="B16" s="566"/>
      <c r="C16" s="260"/>
      <c r="D16" s="260"/>
      <c r="E16" s="260"/>
      <c r="F16" s="260"/>
      <c r="G16" s="267"/>
      <c r="H16" s="265"/>
      <c r="W16" s="85"/>
      <c r="Z16" s="256" t="s">
        <v>37</v>
      </c>
    </row>
    <row r="17" spans="1:26" ht="12.75">
      <c r="A17" s="565" t="s">
        <v>19</v>
      </c>
      <c r="B17" s="566"/>
      <c r="C17" s="260"/>
      <c r="D17" s="260"/>
      <c r="E17" s="260"/>
      <c r="F17" s="260"/>
      <c r="G17" s="267"/>
      <c r="H17" s="265"/>
      <c r="W17" s="85"/>
      <c r="Z17" s="256" t="s">
        <v>31</v>
      </c>
    </row>
    <row r="18" spans="1:26" ht="12.75">
      <c r="A18" s="565" t="s">
        <v>19</v>
      </c>
      <c r="B18" s="566"/>
      <c r="C18" s="260"/>
      <c r="D18" s="260"/>
      <c r="E18" s="260"/>
      <c r="F18" s="260"/>
      <c r="G18" s="267"/>
      <c r="H18" s="265"/>
      <c r="W18" s="85"/>
      <c r="Z18" s="256" t="s">
        <v>32</v>
      </c>
    </row>
    <row r="19" spans="1:26" ht="12.75">
      <c r="A19" s="565" t="s">
        <v>19</v>
      </c>
      <c r="B19" s="566"/>
      <c r="C19" s="260"/>
      <c r="D19" s="260"/>
      <c r="E19" s="260"/>
      <c r="F19" s="260"/>
      <c r="G19" s="267"/>
      <c r="H19" s="265"/>
      <c r="W19" s="85"/>
      <c r="Z19" s="256" t="s">
        <v>33</v>
      </c>
    </row>
    <row r="20" spans="1:23" ht="12.75">
      <c r="A20" s="565" t="s">
        <v>19</v>
      </c>
      <c r="B20" s="566"/>
      <c r="C20" s="260"/>
      <c r="D20" s="260"/>
      <c r="E20" s="260"/>
      <c r="F20" s="260"/>
      <c r="G20" s="267"/>
      <c r="H20" s="265"/>
      <c r="W20" s="85"/>
    </row>
    <row r="21" spans="1:23" ht="12.75">
      <c r="A21" s="565" t="s">
        <v>19</v>
      </c>
      <c r="B21" s="566"/>
      <c r="C21" s="260"/>
      <c r="D21" s="260"/>
      <c r="E21" s="260"/>
      <c r="F21" s="260"/>
      <c r="G21" s="267"/>
      <c r="H21" s="265"/>
      <c r="W21" s="85"/>
    </row>
    <row r="22" spans="1:26" ht="12.75">
      <c r="A22" s="85"/>
      <c r="B22" s="85"/>
      <c r="W22" s="85"/>
      <c r="Z22" s="263" t="s">
        <v>42</v>
      </c>
    </row>
    <row r="23" spans="1:26" ht="12.75">
      <c r="A23" s="85"/>
      <c r="B23" s="85"/>
      <c r="C23" s="575" t="s">
        <v>190</v>
      </c>
      <c r="D23" s="575"/>
      <c r="Z23" s="263" t="s">
        <v>43</v>
      </c>
    </row>
    <row r="24" spans="1:26" ht="12.75">
      <c r="A24" s="565" t="s">
        <v>53</v>
      </c>
      <c r="B24" s="566"/>
      <c r="C24" s="573" t="s">
        <v>45</v>
      </c>
      <c r="D24" s="574"/>
      <c r="Z24" s="263" t="s">
        <v>44</v>
      </c>
    </row>
    <row r="25" spans="1:26" ht="12.75">
      <c r="A25" s="85"/>
      <c r="B25" s="85"/>
      <c r="Z25" s="263" t="s">
        <v>45</v>
      </c>
    </row>
    <row r="26" spans="1:26" ht="12.75">
      <c r="A26" s="525" t="s">
        <v>189</v>
      </c>
      <c r="B26" s="572"/>
      <c r="C26" s="570" t="s">
        <v>282</v>
      </c>
      <c r="D26" s="571"/>
      <c r="Z26" s="263" t="s">
        <v>46</v>
      </c>
    </row>
    <row r="27" ht="12.75">
      <c r="Z27" s="263" t="s">
        <v>47</v>
      </c>
    </row>
    <row r="28" ht="12.75">
      <c r="Z28" s="263" t="s">
        <v>48</v>
      </c>
    </row>
    <row r="29" ht="12.75">
      <c r="Z29" s="263" t="s">
        <v>49</v>
      </c>
    </row>
    <row r="30" spans="1:26" ht="15">
      <c r="A30" s="255"/>
      <c r="B30" s="255"/>
      <c r="Z30" s="263" t="s">
        <v>50</v>
      </c>
    </row>
    <row r="31" spans="1:26" ht="12.75">
      <c r="A31" s="85"/>
      <c r="B31" s="85"/>
      <c r="Z31" s="263" t="s">
        <v>51</v>
      </c>
    </row>
    <row r="32" spans="1:26" ht="12.75">
      <c r="A32" s="85"/>
      <c r="B32" s="85"/>
      <c r="Z32" s="263"/>
    </row>
    <row r="33" spans="1:2" ht="12.75">
      <c r="A33" s="85"/>
      <c r="B33" s="85"/>
    </row>
    <row r="34" spans="1:3" ht="15">
      <c r="A34" s="567"/>
      <c r="B34" s="567"/>
      <c r="C34" s="85"/>
    </row>
    <row r="35" spans="2:3" ht="12.75">
      <c r="B35" s="85"/>
      <c r="C35" s="85"/>
    </row>
    <row r="36" spans="2:3" ht="12.75">
      <c r="B36" s="85"/>
      <c r="C36" s="85"/>
    </row>
    <row r="37" spans="1:3" ht="15">
      <c r="A37" s="255"/>
      <c r="B37" s="255"/>
      <c r="C37" s="85"/>
    </row>
    <row r="38" spans="1:3" ht="12.75">
      <c r="A38" s="85"/>
      <c r="B38" s="85"/>
      <c r="C38" s="85"/>
    </row>
    <row r="39" spans="1:3" ht="15">
      <c r="A39" s="85"/>
      <c r="B39" s="255"/>
      <c r="C39" s="85"/>
    </row>
    <row r="40" spans="1:3" ht="12.75">
      <c r="A40" s="85"/>
      <c r="B40" s="85"/>
      <c r="C40" s="85"/>
    </row>
    <row r="41" spans="1:3" ht="12.75">
      <c r="A41" s="85"/>
      <c r="B41" s="85"/>
      <c r="C41" s="85"/>
    </row>
    <row r="42" spans="1:3" ht="12.75">
      <c r="A42" s="85"/>
      <c r="B42" s="85"/>
      <c r="C42" s="85"/>
    </row>
    <row r="43" spans="1:2" ht="12.75">
      <c r="A43" s="85"/>
      <c r="B43" s="85"/>
    </row>
    <row r="44" spans="1:2" ht="12.75">
      <c r="A44" s="85"/>
      <c r="B44" s="85"/>
    </row>
    <row r="45" spans="1:2" ht="15">
      <c r="A45" s="85"/>
      <c r="B45" s="255"/>
    </row>
  </sheetData>
  <sheetProtection sheet="1"/>
  <mergeCells count="23">
    <mergeCell ref="C26:D26"/>
    <mergeCell ref="A26:B26"/>
    <mergeCell ref="C24:D24"/>
    <mergeCell ref="A20:B20"/>
    <mergeCell ref="A21:B21"/>
    <mergeCell ref="C23:D23"/>
    <mergeCell ref="A10:B10"/>
    <mergeCell ref="A11:B11"/>
    <mergeCell ref="B1:C1"/>
    <mergeCell ref="C4:H4"/>
    <mergeCell ref="A9:B9"/>
    <mergeCell ref="A7:B7"/>
    <mergeCell ref="A8:B8"/>
    <mergeCell ref="A13:B13"/>
    <mergeCell ref="A14:B14"/>
    <mergeCell ref="A12:B12"/>
    <mergeCell ref="A34:B34"/>
    <mergeCell ref="A24:B24"/>
    <mergeCell ref="A15:B15"/>
    <mergeCell ref="A16:B16"/>
    <mergeCell ref="A17:B17"/>
    <mergeCell ref="A18:B18"/>
    <mergeCell ref="A19:B19"/>
  </mergeCells>
  <dataValidations count="18">
    <dataValidation type="list" allowBlank="1" sqref="C7:C21">
      <formula1>$Z$5:$Z$9</formula1>
    </dataValidation>
    <dataValidation type="list" allowBlank="1" sqref="F8:F21">
      <formula1>$Z$11:$Z$23</formula1>
    </dataValidation>
    <dataValidation type="list" allowBlank="1" sqref="F7">
      <formula1>$Z$11:$Z$19</formula1>
    </dataValidation>
    <dataValidation type="list" showInputMessage="1" showErrorMessage="1" error="Please select a vendor from the drop down list." sqref="C24:D24">
      <formula1>$Z$22:$Z$31</formula1>
    </dataValidation>
    <dataValidation type="custom" allowBlank="1" showInputMessage="1" showErrorMessage="1" promptTitle="Email Address" prompt="Please enter a valid email address. " errorTitle="Email Address" error="Please enter a valid email address " sqref="G21">
      <formula1>ISNUMBER(MATCH("*@*",G21,0))</formula1>
    </dataValidation>
    <dataValidation type="custom" allowBlank="1" showInputMessage="1" showErrorMessage="1" promptTitle="Telephone Number" prompt="Telephone number will format automatically. Enter number with no dashes or parenthesis." errorTitle="Telephone Number" error="This cell will only accept entries with 10 digits, no dashes or parenthesis." sqref="H7:H21">
      <formula1>AND(ISNUMBER(H7),LEN(H7)=10)</formula1>
    </dataValidation>
    <dataValidation type="custom" allowBlank="1" showInputMessage="1" showErrorMessage="1" promptTitle="Email Address" prompt="Please enter a valid email address. " errorTitle="Email Address" error="Please enter a valid email address " sqref="G17">
      <formula1>ISNUMBER(MATCH("*@*",G17,0))</formula1>
    </dataValidation>
    <dataValidation type="custom" allowBlank="1" showInputMessage="1" showErrorMessage="1" promptTitle="Email Address" prompt="Please enter a valid email address. " errorTitle="Email Address" error="Please enter a valid email address" sqref="G20">
      <formula1>ISNUMBER(MATCH("*@*",G20,0))</formula1>
    </dataValidation>
    <dataValidation type="custom" allowBlank="1" showInputMessage="1" showErrorMessage="1" promptTitle="Email Address" prompt="Please enter a valid email address. " errorTitle="Email Address" error="Please enter a valid email address " sqref="G19">
      <formula1>ISNUMBER(MATCH("*@*",G19,0))</formula1>
    </dataValidation>
    <dataValidation type="custom" allowBlank="1" showInputMessage="1" showErrorMessage="1" promptTitle="Email Address" prompt="Please enter a valid email address." errorTitle="Email Address" error="Please enter a valid email address &#10;" sqref="G12">
      <formula1>ISNUMBER(MATCH("*@*",G12,0))</formula1>
    </dataValidation>
    <dataValidation type="custom" allowBlank="1" showInputMessage="1" showErrorMessage="1" promptTitle="Email Address" prompt="Please enter a valid email address. " errorTitle="Email Address" error="Please enter a valid email address " sqref="G18">
      <formula1>ISNUMBER(MATCH("*@*",G18,0))</formula1>
    </dataValidation>
    <dataValidation allowBlank="1" showInputMessage="1" showErrorMessage="1" promptTitle="Charter's home page web address" prompt="Please include www. when entering the web address of the charter's home page." sqref="C26:D26"/>
    <dataValidation type="custom" allowBlank="1" showInputMessage="1" showErrorMessage="1" promptTitle="Email Address" prompt="Please enter a valid email address." errorTitle="Email Address" error="Please enter a valid email address " sqref="G16">
      <formula1>ISNUMBER(MATCH("*@*",G16,0))</formula1>
    </dataValidation>
    <dataValidation type="custom" allowBlank="1" showInputMessage="1" showErrorMessage="1" promptTitle="Email Address" prompt="Please enter a valid email address. " errorTitle="Email Address" error="Please enter a valid email address " sqref="G15">
      <formula1>ISNUMBER(MATCH("*@*",G15,0))</formula1>
    </dataValidation>
    <dataValidation type="custom" allowBlank="1" showInputMessage="1" showErrorMessage="1" promptTitle="Email Address" prompt="Please enter a valid email address." errorTitle="Email Address" error="Please enter a valid email address" sqref="G14">
      <formula1>ISNUMBER(MATCH("*@*",G14,0))</formula1>
    </dataValidation>
    <dataValidation type="custom" allowBlank="1" showInputMessage="1" showErrorMessage="1" promptTitle="Email Address" prompt="Please enter a valid email address." errorTitle="Email Address" error="Please enter a valid email address " sqref="G7 G13">
      <formula1>ISNUMBER(MATCH("*@*",G7,0))</formula1>
    </dataValidation>
    <dataValidation type="custom" allowBlank="1" showInputMessage="1" showErrorMessage="1" promptTitle="Email Address" prompt="Please enter a valid email address. " errorTitle="Email Address" error="Please enter a valid email address " sqref="G8 G9 G10">
      <formula1>ISNUMBER(MATCH("*@*",G8,0))</formula1>
    </dataValidation>
    <dataValidation type="custom" allowBlank="1" showInputMessage="1" showErrorMessage="1" promptTitle="Email Address" prompt="Please enter a valid email address." errorTitle="Email Address" error="Please enter a valid email address" sqref="G11">
      <formula1>ISNUMBER(MATCH("*@*",G11,0))</formula1>
    </dataValidation>
  </dataValidations>
  <hyperlinks>
    <hyperlink ref="C4:H4" location="CharterContactInfo" display="CHARTER CONTACT INFORMATION"/>
  </hyperlinks>
  <printOptions/>
  <pageMargins left="0.7" right="0.7" top="0.75" bottom="0.75" header="0.3" footer="0.3"/>
  <pageSetup fitToHeight="1" fitToWidth="1" horizontalDpi="600" verticalDpi="600" orientation="landscape" scale="73" r:id="rId2"/>
  <headerFooter>
    <oddFooter>&amp;L&amp;"Arial,Bold"Rev. 5/19 Arizona Department of Education and Auditor General&amp;R&amp;"Arial,Bold"Charter Contact Info</oddFooter>
  </headerFooter>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R52"/>
  <sheetViews>
    <sheetView showGridLines="0" workbookViewId="0" topLeftCell="A1">
      <selection activeCell="F12" sqref="F12"/>
    </sheetView>
  </sheetViews>
  <sheetFormatPr defaultColWidth="9.140625" defaultRowHeight="12.75" customHeight="1"/>
  <cols>
    <col min="1" max="1" width="1.57421875" style="12" customWidth="1"/>
    <col min="2" max="2" width="1.7109375" style="12" customWidth="1"/>
    <col min="3" max="3" width="14.7109375" style="12" customWidth="1"/>
    <col min="4" max="4" width="32.8515625" style="12" customWidth="1"/>
    <col min="5" max="5" width="3.8515625" style="12" customWidth="1"/>
    <col min="6" max="13" width="12.7109375" style="12" customWidth="1"/>
    <col min="14" max="14" width="3.8515625" style="13" customWidth="1"/>
    <col min="15" max="16384" width="9.140625" style="12" customWidth="1"/>
  </cols>
  <sheetData>
    <row r="1" spans="1:14" ht="12" customHeight="1">
      <c r="A1" s="12" t="s">
        <v>285</v>
      </c>
      <c r="D1" s="576" t="str">
        <f>Cover!D1</f>
        <v>NORTH STAR CHARTER SCHOOL, INC.</v>
      </c>
      <c r="E1" s="576"/>
      <c r="F1" s="576"/>
      <c r="H1" s="39" t="s">
        <v>338</v>
      </c>
      <c r="I1" s="577" t="str">
        <f>Cover!M1</f>
        <v>MARICOPA</v>
      </c>
      <c r="J1" s="577"/>
      <c r="L1" s="39" t="s">
        <v>374</v>
      </c>
      <c r="M1" s="578" t="str">
        <f>Cover!R1</f>
        <v>078945000</v>
      </c>
      <c r="N1" s="578"/>
    </row>
    <row r="2" spans="1:13" ht="3.75" customHeight="1">
      <c r="A2" s="92"/>
      <c r="B2" s="92"/>
      <c r="C2" s="92"/>
      <c r="D2" s="92"/>
      <c r="E2" s="92"/>
      <c r="F2" s="92"/>
      <c r="G2" s="92"/>
      <c r="H2" s="92"/>
      <c r="I2" s="92"/>
      <c r="J2" s="26"/>
      <c r="K2" s="26"/>
      <c r="L2" s="26"/>
      <c r="M2" s="26"/>
    </row>
    <row r="3" spans="2:14" ht="12" customHeight="1">
      <c r="B3" s="192"/>
      <c r="F3" s="61"/>
      <c r="H3" s="61" t="s">
        <v>299</v>
      </c>
      <c r="I3" s="61"/>
      <c r="J3" s="61"/>
      <c r="K3" s="56" t="s">
        <v>346</v>
      </c>
      <c r="L3" s="57"/>
      <c r="M3" s="73"/>
      <c r="N3" s="93"/>
    </row>
    <row r="4" spans="1:14" ht="12" customHeight="1">
      <c r="A4" s="12" t="s">
        <v>297</v>
      </c>
      <c r="D4" s="579"/>
      <c r="F4" s="62"/>
      <c r="G4" s="203" t="s">
        <v>298</v>
      </c>
      <c r="H4" s="61" t="s">
        <v>302</v>
      </c>
      <c r="J4" s="62"/>
      <c r="K4" s="216" t="s">
        <v>527</v>
      </c>
      <c r="L4" s="61" t="s">
        <v>347</v>
      </c>
      <c r="M4" s="74" t="s">
        <v>348</v>
      </c>
      <c r="N4" s="93"/>
    </row>
    <row r="5" spans="4:14" ht="12" customHeight="1">
      <c r="D5" s="579"/>
      <c r="F5" s="61" t="s">
        <v>300</v>
      </c>
      <c r="G5" s="203" t="s">
        <v>301</v>
      </c>
      <c r="H5" s="61" t="s">
        <v>305</v>
      </c>
      <c r="I5" s="61" t="s">
        <v>303</v>
      </c>
      <c r="J5" s="61" t="s">
        <v>304</v>
      </c>
      <c r="K5" s="61" t="s">
        <v>339</v>
      </c>
      <c r="L5" s="61" t="s">
        <v>339</v>
      </c>
      <c r="M5" s="74" t="s">
        <v>349</v>
      </c>
      <c r="N5" s="93"/>
    </row>
    <row r="6" spans="1:14" ht="12" customHeight="1">
      <c r="A6" s="26" t="s">
        <v>296</v>
      </c>
      <c r="B6" s="26"/>
      <c r="C6" s="26"/>
      <c r="D6" s="26"/>
      <c r="E6" s="26"/>
      <c r="F6" s="64">
        <v>6100</v>
      </c>
      <c r="G6" s="64">
        <v>6200</v>
      </c>
      <c r="H6" s="64">
        <v>6500</v>
      </c>
      <c r="I6" s="64">
        <v>6600</v>
      </c>
      <c r="J6" s="64">
        <v>6800</v>
      </c>
      <c r="K6" s="216">
        <v>2019</v>
      </c>
      <c r="L6" s="507">
        <v>2020</v>
      </c>
      <c r="M6" s="74" t="s">
        <v>350</v>
      </c>
      <c r="N6" s="93"/>
    </row>
    <row r="7" spans="1:13" ht="12" customHeight="1">
      <c r="A7" s="12" t="s">
        <v>306</v>
      </c>
      <c r="F7" s="97"/>
      <c r="G7" s="97"/>
      <c r="H7" s="97"/>
      <c r="I7" s="97"/>
      <c r="J7" s="99"/>
      <c r="K7" s="1"/>
      <c r="L7" s="1"/>
      <c r="M7" s="54"/>
    </row>
    <row r="8" spans="2:14" ht="12" customHeight="1">
      <c r="B8" s="12" t="s">
        <v>307</v>
      </c>
      <c r="E8" s="3">
        <v>1</v>
      </c>
      <c r="F8" s="20">
        <v>150821</v>
      </c>
      <c r="G8" s="20">
        <v>183224</v>
      </c>
      <c r="H8" s="20">
        <v>3765312</v>
      </c>
      <c r="I8" s="20">
        <v>68188</v>
      </c>
      <c r="J8" s="130"/>
      <c r="K8" s="132">
        <v>1532878</v>
      </c>
      <c r="L8" s="133">
        <f>SUM(F8:J8)</f>
        <v>4167545</v>
      </c>
      <c r="M8" s="126">
        <f>IF(K8=0," ",(L8-K8)/K8)</f>
        <v>1.719</v>
      </c>
      <c r="N8" s="2">
        <v>1</v>
      </c>
    </row>
    <row r="9" spans="2:14" ht="12" customHeight="1">
      <c r="B9" s="12" t="s">
        <v>308</v>
      </c>
      <c r="E9" s="3"/>
      <c r="F9" s="97"/>
      <c r="G9" s="97"/>
      <c r="H9" s="97"/>
      <c r="I9" s="97"/>
      <c r="J9" s="99"/>
      <c r="K9" s="54"/>
      <c r="L9" s="54"/>
      <c r="M9" s="54"/>
      <c r="N9" s="2"/>
    </row>
    <row r="10" spans="2:14" ht="12" customHeight="1">
      <c r="B10" s="12" t="s">
        <v>414</v>
      </c>
      <c r="E10" s="3">
        <v>2</v>
      </c>
      <c r="F10" s="20"/>
      <c r="G10" s="20"/>
      <c r="H10" s="20"/>
      <c r="I10" s="20"/>
      <c r="J10" s="130"/>
      <c r="K10" s="20">
        <f>[1]!SP1000P100F2100</f>
        <v>0</v>
      </c>
      <c r="L10" s="6">
        <f>SUM(F10:J10)</f>
        <v>0</v>
      </c>
      <c r="M10" s="10" t="str">
        <f>IF(K10=0," ",(L10-K10)/K10)</f>
        <v> </v>
      </c>
      <c r="N10" s="2">
        <v>2</v>
      </c>
    </row>
    <row r="11" spans="2:14" ht="12" customHeight="1">
      <c r="B11" s="12" t="s">
        <v>432</v>
      </c>
      <c r="E11" s="3">
        <v>3</v>
      </c>
      <c r="F11" s="20"/>
      <c r="G11" s="20"/>
      <c r="H11" s="20"/>
      <c r="I11" s="20"/>
      <c r="J11" s="20"/>
      <c r="K11" s="20">
        <f>[1]!SP1000P100F2200</f>
        <v>0</v>
      </c>
      <c r="L11" s="6">
        <f aca="true" t="shared" si="0" ref="L11:L23">SUM(F11:J11)</f>
        <v>0</v>
      </c>
      <c r="M11" s="10" t="str">
        <f aca="true" t="shared" si="1" ref="M11:M23">IF(K11=0," ",(L11-K11)/K11)</f>
        <v> </v>
      </c>
      <c r="N11" s="68">
        <v>3</v>
      </c>
    </row>
    <row r="12" spans="2:14" ht="12" customHeight="1">
      <c r="B12" s="12" t="s">
        <v>309</v>
      </c>
      <c r="E12" s="3">
        <v>4</v>
      </c>
      <c r="F12" s="20">
        <v>479875</v>
      </c>
      <c r="G12" s="20">
        <v>86602</v>
      </c>
      <c r="H12" s="20">
        <v>21664</v>
      </c>
      <c r="I12" s="20">
        <v>19550</v>
      </c>
      <c r="J12" s="20">
        <v>20400</v>
      </c>
      <c r="K12" s="21">
        <v>233155</v>
      </c>
      <c r="L12" s="6">
        <f t="shared" si="0"/>
        <v>628091</v>
      </c>
      <c r="M12" s="10">
        <f t="shared" si="1"/>
        <v>1.694</v>
      </c>
      <c r="N12" s="68">
        <v>4</v>
      </c>
    </row>
    <row r="13" spans="2:14" ht="12" customHeight="1">
      <c r="B13" s="12" t="s">
        <v>310</v>
      </c>
      <c r="E13" s="3">
        <v>5</v>
      </c>
      <c r="F13" s="20">
        <v>146793</v>
      </c>
      <c r="G13" s="20">
        <v>41184</v>
      </c>
      <c r="H13" s="20">
        <v>18000</v>
      </c>
      <c r="I13" s="20">
        <v>50250</v>
      </c>
      <c r="J13" s="20"/>
      <c r="K13" s="21">
        <v>286773</v>
      </c>
      <c r="L13" s="6">
        <f t="shared" si="0"/>
        <v>256227</v>
      </c>
      <c r="M13" s="10">
        <f t="shared" si="1"/>
        <v>-0.107</v>
      </c>
      <c r="N13" s="68">
        <v>5</v>
      </c>
    </row>
    <row r="14" spans="2:14" ht="12" customHeight="1">
      <c r="B14" s="12" t="s">
        <v>433</v>
      </c>
      <c r="E14" s="3">
        <v>6</v>
      </c>
      <c r="F14" s="20"/>
      <c r="G14" s="20"/>
      <c r="H14" s="20"/>
      <c r="I14" s="20"/>
      <c r="J14" s="20"/>
      <c r="K14" s="21">
        <f>[1]!SP1000P100F2500</f>
        <v>0</v>
      </c>
      <c r="L14" s="6">
        <f>SUM(F14:J14)</f>
        <v>0</v>
      </c>
      <c r="M14" s="10" t="str">
        <f t="shared" si="1"/>
        <v> </v>
      </c>
      <c r="N14" s="68">
        <v>6</v>
      </c>
    </row>
    <row r="15" spans="2:14" ht="12" customHeight="1">
      <c r="B15" s="12" t="s">
        <v>434</v>
      </c>
      <c r="E15" s="3">
        <v>7</v>
      </c>
      <c r="F15" s="20">
        <v>13440</v>
      </c>
      <c r="G15" s="20">
        <v>1344</v>
      </c>
      <c r="H15" s="20">
        <v>45695</v>
      </c>
      <c r="I15" s="20"/>
      <c r="J15" s="20"/>
      <c r="K15" s="21">
        <v>46563</v>
      </c>
      <c r="L15" s="6">
        <f t="shared" si="0"/>
        <v>60479</v>
      </c>
      <c r="M15" s="10">
        <f t="shared" si="1"/>
        <v>0.299</v>
      </c>
      <c r="N15" s="68">
        <v>7</v>
      </c>
    </row>
    <row r="16" spans="2:14" ht="12" customHeight="1">
      <c r="B16" s="12" t="s">
        <v>360</v>
      </c>
      <c r="E16" s="3">
        <v>8</v>
      </c>
      <c r="F16" s="20"/>
      <c r="G16" s="20"/>
      <c r="H16" s="20"/>
      <c r="I16" s="20"/>
      <c r="J16" s="20"/>
      <c r="K16" s="21">
        <f>[1]!SP1000P100F2900</f>
        <v>0</v>
      </c>
      <c r="L16" s="6">
        <f t="shared" si="0"/>
        <v>0</v>
      </c>
      <c r="M16" s="10" t="str">
        <f t="shared" si="1"/>
        <v> </v>
      </c>
      <c r="N16" s="68">
        <v>8</v>
      </c>
    </row>
    <row r="17" spans="2:14" ht="12" customHeight="1">
      <c r="B17" s="12" t="s">
        <v>311</v>
      </c>
      <c r="E17" s="3">
        <v>9</v>
      </c>
      <c r="F17" s="20"/>
      <c r="G17" s="20"/>
      <c r="H17" s="20"/>
      <c r="I17" s="20"/>
      <c r="J17" s="20"/>
      <c r="K17" s="21">
        <f>[1]!SP1000P100F3000</f>
        <v>0</v>
      </c>
      <c r="L17" s="6">
        <f t="shared" si="0"/>
        <v>0</v>
      </c>
      <c r="M17" s="10" t="str">
        <f t="shared" si="1"/>
        <v> </v>
      </c>
      <c r="N17" s="68">
        <v>9</v>
      </c>
    </row>
    <row r="18" spans="2:14" ht="12" customHeight="1">
      <c r="B18" s="12" t="s">
        <v>435</v>
      </c>
      <c r="E18" s="3">
        <v>10</v>
      </c>
      <c r="F18" s="20"/>
      <c r="G18" s="20"/>
      <c r="H18" s="20"/>
      <c r="I18" s="20"/>
      <c r="J18" s="20"/>
      <c r="K18" s="21">
        <f>[1]!SP1000P100F4000</f>
        <v>0</v>
      </c>
      <c r="L18" s="6">
        <f t="shared" si="0"/>
        <v>0</v>
      </c>
      <c r="M18" s="10" t="str">
        <f t="shared" si="1"/>
        <v> </v>
      </c>
      <c r="N18" s="68">
        <v>10</v>
      </c>
    </row>
    <row r="19" spans="2:14" ht="12" customHeight="1">
      <c r="B19" s="12" t="s">
        <v>312</v>
      </c>
      <c r="E19" s="16">
        <v>11</v>
      </c>
      <c r="F19" s="94"/>
      <c r="G19" s="20"/>
      <c r="H19" s="20"/>
      <c r="I19" s="20"/>
      <c r="J19" s="20">
        <v>280000</v>
      </c>
      <c r="K19" s="21">
        <v>281967</v>
      </c>
      <c r="L19" s="6">
        <f t="shared" si="0"/>
        <v>280000</v>
      </c>
      <c r="M19" s="10">
        <f t="shared" si="1"/>
        <v>-0.007</v>
      </c>
      <c r="N19" s="68">
        <v>11</v>
      </c>
    </row>
    <row r="20" spans="1:14" ht="12" customHeight="1">
      <c r="A20" s="12" t="s">
        <v>361</v>
      </c>
      <c r="E20" s="16">
        <v>12</v>
      </c>
      <c r="F20" s="94"/>
      <c r="G20" s="20"/>
      <c r="H20" s="20"/>
      <c r="I20" s="20"/>
      <c r="J20" s="20"/>
      <c r="K20" s="20">
        <f>[1]!SP1000P610</f>
        <v>0</v>
      </c>
      <c r="L20" s="6">
        <f t="shared" si="0"/>
        <v>0</v>
      </c>
      <c r="M20" s="10" t="str">
        <f t="shared" si="1"/>
        <v> </v>
      </c>
      <c r="N20" s="68">
        <v>12</v>
      </c>
    </row>
    <row r="21" spans="1:14" ht="12" customHeight="1">
      <c r="A21" s="12" t="s">
        <v>363</v>
      </c>
      <c r="E21" s="16">
        <v>13</v>
      </c>
      <c r="F21" s="94"/>
      <c r="G21" s="20"/>
      <c r="H21" s="20"/>
      <c r="I21" s="20"/>
      <c r="J21" s="20"/>
      <c r="K21" s="20">
        <f>[1]!SP1000P620</f>
        <v>0</v>
      </c>
      <c r="L21" s="6">
        <f>SUM(F21:J21)</f>
        <v>0</v>
      </c>
      <c r="M21" s="10" t="str">
        <f t="shared" si="1"/>
        <v> </v>
      </c>
      <c r="N21" s="68">
        <v>13</v>
      </c>
    </row>
    <row r="22" spans="1:14" ht="12" customHeight="1">
      <c r="A22" s="12" t="s">
        <v>362</v>
      </c>
      <c r="E22" s="16">
        <v>14</v>
      </c>
      <c r="F22" s="94"/>
      <c r="G22" s="20"/>
      <c r="H22" s="20"/>
      <c r="I22" s="20"/>
      <c r="J22" s="20"/>
      <c r="K22" s="20">
        <f>[1]!SP1000P630700800900</f>
        <v>0</v>
      </c>
      <c r="L22" s="6">
        <f t="shared" si="0"/>
        <v>0</v>
      </c>
      <c r="M22" s="10" t="str">
        <f t="shared" si="1"/>
        <v> </v>
      </c>
      <c r="N22" s="68">
        <v>14</v>
      </c>
    </row>
    <row r="23" spans="1:14" ht="12" customHeight="1">
      <c r="A23" s="26"/>
      <c r="B23" s="26" t="s">
        <v>427</v>
      </c>
      <c r="C23" s="26"/>
      <c r="D23" s="26"/>
      <c r="E23" s="18">
        <v>15</v>
      </c>
      <c r="F23" s="6">
        <f>SUM(F7:F22)</f>
        <v>790929</v>
      </c>
      <c r="G23" s="6">
        <f>SUM(G7:G22)</f>
        <v>312354</v>
      </c>
      <c r="H23" s="6">
        <f>SUM(H7:H22)</f>
        <v>3850671</v>
      </c>
      <c r="I23" s="6">
        <f>SUM(I7:I22)</f>
        <v>137988</v>
      </c>
      <c r="J23" s="6">
        <f>SUM(J7:J22)</f>
        <v>300400</v>
      </c>
      <c r="K23" s="127">
        <f>SUM(K8:K22)</f>
        <v>2381336</v>
      </c>
      <c r="L23" s="127">
        <f t="shared" si="0"/>
        <v>5392342</v>
      </c>
      <c r="M23" s="10">
        <f t="shared" si="1"/>
        <v>1.264</v>
      </c>
      <c r="N23" s="68">
        <v>15</v>
      </c>
    </row>
    <row r="24" spans="1:14" ht="12" customHeight="1">
      <c r="A24" s="235" t="s">
        <v>313</v>
      </c>
      <c r="B24" s="195"/>
      <c r="C24" s="195"/>
      <c r="D24" s="196"/>
      <c r="E24" s="3"/>
      <c r="F24" s="97"/>
      <c r="G24" s="97"/>
      <c r="H24" s="97"/>
      <c r="I24" s="97"/>
      <c r="J24" s="99"/>
      <c r="K24" s="54"/>
      <c r="L24" s="54"/>
      <c r="M24" s="54"/>
      <c r="N24" s="68"/>
    </row>
    <row r="25" spans="2:14" ht="12" customHeight="1">
      <c r="B25" s="12" t="s">
        <v>307</v>
      </c>
      <c r="E25" s="3">
        <v>16</v>
      </c>
      <c r="F25" s="20"/>
      <c r="G25" s="20"/>
      <c r="H25" s="20"/>
      <c r="I25" s="20"/>
      <c r="J25" s="130"/>
      <c r="K25" s="20">
        <v>7385</v>
      </c>
      <c r="L25" s="6">
        <f>SUM(F25:J25)</f>
        <v>0</v>
      </c>
      <c r="M25" s="181">
        <f>IF(K25=0," ",(L25-K25)/K25)</f>
        <v>-1</v>
      </c>
      <c r="N25" s="68">
        <v>16</v>
      </c>
    </row>
    <row r="26" spans="2:14" ht="12" customHeight="1">
      <c r="B26" s="12" t="s">
        <v>308</v>
      </c>
      <c r="E26" s="3"/>
      <c r="F26" s="97"/>
      <c r="G26" s="97"/>
      <c r="H26" s="97"/>
      <c r="I26" s="97"/>
      <c r="J26" s="99"/>
      <c r="K26" s="54"/>
      <c r="L26" s="54"/>
      <c r="M26" s="54"/>
      <c r="N26" s="68"/>
    </row>
    <row r="27" spans="2:14" ht="12" customHeight="1">
      <c r="B27" s="12" t="s">
        <v>414</v>
      </c>
      <c r="E27" s="16">
        <v>17</v>
      </c>
      <c r="F27" s="20"/>
      <c r="G27" s="20"/>
      <c r="H27" s="20"/>
      <c r="I27" s="20"/>
      <c r="J27" s="130"/>
      <c r="K27" s="20">
        <f>[1]!SP1000P200F2100</f>
        <v>0</v>
      </c>
      <c r="L27" s="6">
        <f>SUM(F27:J27)</f>
        <v>0</v>
      </c>
      <c r="M27" s="181" t="str">
        <f>IF(K27=0," ",(L27-K27)/K27)</f>
        <v> </v>
      </c>
      <c r="N27" s="68">
        <v>17</v>
      </c>
    </row>
    <row r="28" spans="2:14" ht="12" customHeight="1">
      <c r="B28" s="12" t="s">
        <v>432</v>
      </c>
      <c r="E28" s="16">
        <v>18</v>
      </c>
      <c r="F28" s="20"/>
      <c r="G28" s="20"/>
      <c r="H28" s="20"/>
      <c r="I28" s="20"/>
      <c r="J28" s="20"/>
      <c r="K28" s="20">
        <f>[1]!SP1000P200F2200</f>
        <v>0</v>
      </c>
      <c r="L28" s="6">
        <f aca="true" t="shared" si="2" ref="L28:L42">SUM(F28:J28)</f>
        <v>0</v>
      </c>
      <c r="M28" s="100" t="str">
        <f aca="true" t="shared" si="3" ref="M28:M48">IF(K28=0," ",(L28-K28)/K28)</f>
        <v> </v>
      </c>
      <c r="N28" s="68">
        <v>18</v>
      </c>
    </row>
    <row r="29" spans="2:14" ht="12" customHeight="1">
      <c r="B29" s="12" t="s">
        <v>309</v>
      </c>
      <c r="E29" s="16">
        <v>19</v>
      </c>
      <c r="F29" s="20"/>
      <c r="G29" s="20"/>
      <c r="H29" s="20"/>
      <c r="I29" s="20"/>
      <c r="J29" s="20"/>
      <c r="K29" s="21">
        <f>[1]!SP1000P200F2300</f>
        <v>0</v>
      </c>
      <c r="L29" s="6">
        <f t="shared" si="2"/>
        <v>0</v>
      </c>
      <c r="M29" s="10" t="str">
        <f t="shared" si="3"/>
        <v> </v>
      </c>
      <c r="N29" s="68">
        <v>19</v>
      </c>
    </row>
    <row r="30" spans="2:14" ht="12" customHeight="1">
      <c r="B30" s="12" t="s">
        <v>310</v>
      </c>
      <c r="E30" s="16">
        <v>20</v>
      </c>
      <c r="F30" s="20"/>
      <c r="G30" s="20"/>
      <c r="H30" s="20"/>
      <c r="I30" s="20"/>
      <c r="J30" s="20"/>
      <c r="K30" s="21">
        <f>[1]!SP1000P200F2400</f>
        <v>0</v>
      </c>
      <c r="L30" s="6">
        <f t="shared" si="2"/>
        <v>0</v>
      </c>
      <c r="M30" s="10" t="str">
        <f t="shared" si="3"/>
        <v> </v>
      </c>
      <c r="N30" s="68">
        <v>20</v>
      </c>
    </row>
    <row r="31" spans="2:14" ht="12" customHeight="1">
      <c r="B31" s="12" t="s">
        <v>433</v>
      </c>
      <c r="E31" s="16">
        <v>21</v>
      </c>
      <c r="F31" s="20"/>
      <c r="G31" s="20"/>
      <c r="H31" s="20"/>
      <c r="I31" s="20"/>
      <c r="J31" s="20"/>
      <c r="K31" s="21">
        <f>[1]!SP1000P200F2500</f>
        <v>0</v>
      </c>
      <c r="L31" s="6">
        <f>SUM(F31:J31)</f>
        <v>0</v>
      </c>
      <c r="M31" s="10" t="str">
        <f t="shared" si="3"/>
        <v> </v>
      </c>
      <c r="N31" s="68">
        <v>21</v>
      </c>
    </row>
    <row r="32" spans="2:14" ht="12" customHeight="1">
      <c r="B32" s="12" t="s">
        <v>434</v>
      </c>
      <c r="E32" s="16">
        <v>22</v>
      </c>
      <c r="F32" s="20"/>
      <c r="G32" s="20"/>
      <c r="H32" s="20"/>
      <c r="I32" s="20"/>
      <c r="J32" s="20"/>
      <c r="K32" s="21">
        <f>[1]!SP1000P200F2600</f>
        <v>0</v>
      </c>
      <c r="L32" s="6">
        <f t="shared" si="2"/>
        <v>0</v>
      </c>
      <c r="M32" s="10" t="str">
        <f t="shared" si="3"/>
        <v> </v>
      </c>
      <c r="N32" s="68">
        <v>22</v>
      </c>
    </row>
    <row r="33" spans="2:14" ht="12" customHeight="1">
      <c r="B33" s="12" t="s">
        <v>360</v>
      </c>
      <c r="E33" s="16">
        <v>23</v>
      </c>
      <c r="F33" s="20"/>
      <c r="G33" s="20"/>
      <c r="H33" s="20"/>
      <c r="I33" s="20"/>
      <c r="J33" s="20"/>
      <c r="K33" s="21">
        <f>[1]!SP1000P200F2900</f>
        <v>0</v>
      </c>
      <c r="L33" s="6">
        <f t="shared" si="2"/>
        <v>0</v>
      </c>
      <c r="M33" s="10" t="str">
        <f t="shared" si="3"/>
        <v> </v>
      </c>
      <c r="N33" s="68">
        <v>23</v>
      </c>
    </row>
    <row r="34" spans="2:18" ht="12" customHeight="1">
      <c r="B34" s="12" t="s">
        <v>311</v>
      </c>
      <c r="E34" s="16">
        <v>24</v>
      </c>
      <c r="F34" s="20"/>
      <c r="G34" s="20"/>
      <c r="H34" s="20"/>
      <c r="I34" s="20"/>
      <c r="J34" s="20"/>
      <c r="K34" s="21">
        <f>[1]!SP1000P200F3000</f>
        <v>0</v>
      </c>
      <c r="L34" s="6">
        <f t="shared" si="2"/>
        <v>0</v>
      </c>
      <c r="M34" s="10" t="str">
        <f t="shared" si="3"/>
        <v> </v>
      </c>
      <c r="N34" s="68">
        <v>24</v>
      </c>
      <c r="R34" s="192"/>
    </row>
    <row r="35" spans="2:14" ht="12" customHeight="1">
      <c r="B35" s="12" t="s">
        <v>435</v>
      </c>
      <c r="E35" s="16">
        <v>25</v>
      </c>
      <c r="F35" s="20"/>
      <c r="G35" s="20"/>
      <c r="H35" s="20"/>
      <c r="I35" s="20"/>
      <c r="J35" s="20"/>
      <c r="K35" s="21">
        <f>[1]!SP1000P200F4000</f>
        <v>0</v>
      </c>
      <c r="L35" s="6">
        <f t="shared" si="2"/>
        <v>0</v>
      </c>
      <c r="M35" s="10" t="str">
        <f t="shared" si="3"/>
        <v> </v>
      </c>
      <c r="N35" s="68">
        <v>25</v>
      </c>
    </row>
    <row r="36" spans="2:14" ht="12" customHeight="1">
      <c r="B36" s="12" t="s">
        <v>312</v>
      </c>
      <c r="E36" s="3">
        <v>26</v>
      </c>
      <c r="F36" s="20"/>
      <c r="G36" s="20"/>
      <c r="H36" s="20"/>
      <c r="I36" s="20"/>
      <c r="J36" s="20"/>
      <c r="K36" s="21">
        <f>[1]!SP1000P200F5000</f>
        <v>0</v>
      </c>
      <c r="L36" s="6">
        <f t="shared" si="2"/>
        <v>0</v>
      </c>
      <c r="M36" s="10" t="str">
        <f t="shared" si="3"/>
        <v> </v>
      </c>
      <c r="N36" s="68">
        <v>26</v>
      </c>
    </row>
    <row r="37" spans="1:14" ht="12" customHeight="1">
      <c r="A37" s="26"/>
      <c r="B37" s="26" t="s">
        <v>371</v>
      </c>
      <c r="C37" s="26"/>
      <c r="D37" s="26"/>
      <c r="E37" s="18">
        <v>27</v>
      </c>
      <c r="F37" s="15">
        <f>SUM(F24:F36)</f>
        <v>0</v>
      </c>
      <c r="G37" s="15">
        <f>SUM(G24:G36)</f>
        <v>0</v>
      </c>
      <c r="H37" s="15">
        <f>SUM(H24:H36)</f>
        <v>0</v>
      </c>
      <c r="I37" s="15">
        <f>SUM(I24:I36)</f>
        <v>0</v>
      </c>
      <c r="J37" s="15">
        <f>SUM(J24:J36)</f>
        <v>0</v>
      </c>
      <c r="K37" s="15">
        <f>SUM(K25:K36)</f>
        <v>7385</v>
      </c>
      <c r="L37" s="15">
        <f t="shared" si="2"/>
        <v>0</v>
      </c>
      <c r="M37" s="100">
        <f t="shared" si="3"/>
        <v>-1</v>
      </c>
      <c r="N37" s="68">
        <v>27</v>
      </c>
    </row>
    <row r="38" spans="1:14" ht="0.75" customHeight="1">
      <c r="A38" t="s">
        <v>436</v>
      </c>
      <c r="B38"/>
      <c r="C38"/>
      <c r="D38"/>
      <c r="E38" s="3">
        <v>28</v>
      </c>
      <c r="F38" s="7"/>
      <c r="G38" s="7"/>
      <c r="H38" s="7"/>
      <c r="I38" s="7"/>
      <c r="J38" s="7"/>
      <c r="K38" s="7"/>
      <c r="L38" s="7"/>
      <c r="M38" s="9"/>
      <c r="N38" s="2">
        <v>28</v>
      </c>
    </row>
    <row r="39" spans="1:14" ht="12" customHeight="1">
      <c r="A39" s="26" t="s">
        <v>314</v>
      </c>
      <c r="B39" s="26"/>
      <c r="C39" s="26"/>
      <c r="D39" s="26"/>
      <c r="E39" s="18">
        <v>28</v>
      </c>
      <c r="F39" s="20"/>
      <c r="G39" s="20"/>
      <c r="H39" s="20"/>
      <c r="I39" s="20"/>
      <c r="J39" s="20"/>
      <c r="K39" s="20">
        <f>[1]!SP1000P400</f>
        <v>0</v>
      </c>
      <c r="L39" s="6">
        <f t="shared" si="2"/>
        <v>0</v>
      </c>
      <c r="M39" s="10" t="str">
        <f t="shared" si="3"/>
        <v> </v>
      </c>
      <c r="N39" s="68">
        <v>28</v>
      </c>
    </row>
    <row r="40" spans="1:14" ht="12" customHeight="1">
      <c r="A40" s="26" t="s">
        <v>315</v>
      </c>
      <c r="B40" s="26"/>
      <c r="C40" s="26"/>
      <c r="D40" s="26"/>
      <c r="E40" s="5">
        <v>29</v>
      </c>
      <c r="F40" s="20"/>
      <c r="G40" s="20"/>
      <c r="H40" s="20"/>
      <c r="I40" s="20"/>
      <c r="J40" s="20"/>
      <c r="K40" s="21">
        <f>[1]!SP1000P530</f>
        <v>0</v>
      </c>
      <c r="L40" s="6">
        <f>SUM(F40:J40)</f>
        <v>0</v>
      </c>
      <c r="M40" s="10" t="str">
        <f t="shared" si="3"/>
        <v> </v>
      </c>
      <c r="N40" s="68">
        <v>29</v>
      </c>
    </row>
    <row r="41" spans="1:14" ht="12" customHeight="1">
      <c r="A41" s="26" t="s">
        <v>437</v>
      </c>
      <c r="B41" s="26"/>
      <c r="C41" s="26"/>
      <c r="D41" s="26"/>
      <c r="E41" s="5">
        <v>30</v>
      </c>
      <c r="F41" s="20"/>
      <c r="G41" s="20"/>
      <c r="H41" s="20"/>
      <c r="I41" s="20"/>
      <c r="J41" s="20"/>
      <c r="K41" s="21">
        <f>[1]!SP1000P540</f>
        <v>0</v>
      </c>
      <c r="L41" s="6">
        <f t="shared" si="2"/>
        <v>0</v>
      </c>
      <c r="M41" s="10" t="str">
        <f t="shared" si="3"/>
        <v> </v>
      </c>
      <c r="N41" s="68">
        <v>30</v>
      </c>
    </row>
    <row r="42" spans="1:14" ht="12" customHeight="1">
      <c r="A42" s="204" t="s">
        <v>498</v>
      </c>
      <c r="B42" s="199"/>
      <c r="C42" s="199"/>
      <c r="D42" s="199"/>
      <c r="E42" s="5">
        <v>31</v>
      </c>
      <c r="F42" s="20"/>
      <c r="G42" s="20"/>
      <c r="H42" s="20"/>
      <c r="I42" s="20"/>
      <c r="J42" s="20"/>
      <c r="K42" s="21">
        <f>[1]!SP1000P550</f>
        <v>0</v>
      </c>
      <c r="L42" s="6">
        <f t="shared" si="2"/>
        <v>0</v>
      </c>
      <c r="M42" s="10" t="str">
        <f t="shared" si="3"/>
        <v> </v>
      </c>
      <c r="N42" s="68">
        <v>31</v>
      </c>
    </row>
    <row r="43" spans="1:14" ht="12" customHeight="1">
      <c r="A43" s="26"/>
      <c r="B43" s="104" t="s">
        <v>551</v>
      </c>
      <c r="C43" s="26"/>
      <c r="D43" s="26"/>
      <c r="E43" s="5">
        <v>32</v>
      </c>
      <c r="F43" s="6">
        <f aca="true" t="shared" si="4" ref="F43:K43">SUM(F37:F42)+F23</f>
        <v>790929</v>
      </c>
      <c r="G43" s="6">
        <f t="shared" si="4"/>
        <v>312354</v>
      </c>
      <c r="H43" s="6">
        <f t="shared" si="4"/>
        <v>3850671</v>
      </c>
      <c r="I43" s="6">
        <f t="shared" si="4"/>
        <v>137988</v>
      </c>
      <c r="J43" s="6">
        <f t="shared" si="4"/>
        <v>300400</v>
      </c>
      <c r="K43" s="6">
        <f t="shared" si="4"/>
        <v>2388721</v>
      </c>
      <c r="L43" s="6">
        <f>SUM(F43:J43)</f>
        <v>5392342</v>
      </c>
      <c r="M43" s="10">
        <f t="shared" si="3"/>
        <v>1.257</v>
      </c>
      <c r="N43" s="68">
        <v>32</v>
      </c>
    </row>
    <row r="44" spans="1:14" ht="12" customHeight="1">
      <c r="A44" s="104" t="s">
        <v>543</v>
      </c>
      <c r="B44" s="26"/>
      <c r="C44" s="26"/>
      <c r="D44" s="26"/>
      <c r="E44" s="5">
        <v>33</v>
      </c>
      <c r="F44" s="6">
        <f>TotalCSP6100</f>
        <v>201662</v>
      </c>
      <c r="G44" s="6">
        <f>TotalCSP6200</f>
        <v>52444</v>
      </c>
      <c r="H44" s="6">
        <f>TotalCSP630064006500</f>
        <v>169404</v>
      </c>
      <c r="I44" s="6">
        <f>TotalCSP6600</f>
        <v>0</v>
      </c>
      <c r="J44" s="96"/>
      <c r="K44" s="20">
        <v>218640</v>
      </c>
      <c r="L44" s="6">
        <f>SUM(F44:J44)</f>
        <v>423510</v>
      </c>
      <c r="M44" s="10">
        <f t="shared" si="3"/>
        <v>0.937</v>
      </c>
      <c r="N44" s="68">
        <v>33</v>
      </c>
    </row>
    <row r="45" spans="1:14" ht="12" customHeight="1">
      <c r="A45" s="104" t="s">
        <v>544</v>
      </c>
      <c r="B45" s="26"/>
      <c r="C45" s="26"/>
      <c r="D45" s="26"/>
      <c r="E45" s="5">
        <v>34</v>
      </c>
      <c r="F45" s="96"/>
      <c r="G45" s="96"/>
      <c r="H45" s="96"/>
      <c r="I45" s="96"/>
      <c r="J45" s="96"/>
      <c r="K45" s="20">
        <v>15200</v>
      </c>
      <c r="L45" s="6">
        <f>TotalInstructionalImprovement</f>
        <v>34000</v>
      </c>
      <c r="M45" s="10">
        <f t="shared" si="3"/>
        <v>1.237</v>
      </c>
      <c r="N45" s="68">
        <v>34</v>
      </c>
    </row>
    <row r="46" spans="1:14" ht="12" customHeight="1">
      <c r="A46" s="104" t="s">
        <v>224</v>
      </c>
      <c r="B46" s="26"/>
      <c r="C46" s="26"/>
      <c r="D46" s="26"/>
      <c r="E46" s="5">
        <v>35</v>
      </c>
      <c r="F46" s="6">
        <f>TotalSEIP6100</f>
        <v>0</v>
      </c>
      <c r="G46" s="6">
        <f>TotalSEIP6200</f>
        <v>0</v>
      </c>
      <c r="H46" s="6">
        <f>TotalSEIP630064006500</f>
        <v>0</v>
      </c>
      <c r="I46" s="6">
        <f>TotalSEIP6600</f>
        <v>0</v>
      </c>
      <c r="J46" s="6">
        <f>TotalSEIP6800</f>
        <v>0</v>
      </c>
      <c r="K46" s="20">
        <f>[1]!SP1000StruEngImmProj</f>
        <v>0</v>
      </c>
      <c r="L46" s="6">
        <f>TotalSEIP</f>
        <v>0</v>
      </c>
      <c r="M46" s="10" t="str">
        <f t="shared" si="3"/>
        <v> </v>
      </c>
      <c r="N46" s="68">
        <v>35</v>
      </c>
    </row>
    <row r="47" spans="1:14" ht="12" customHeight="1">
      <c r="A47" s="104" t="s">
        <v>545</v>
      </c>
      <c r="B47" s="26"/>
      <c r="C47" s="26"/>
      <c r="D47" s="26"/>
      <c r="E47" s="5">
        <v>36</v>
      </c>
      <c r="F47" s="6">
        <f>TotalCIP6100</f>
        <v>0</v>
      </c>
      <c r="G47" s="6">
        <f>TotalCIP6200</f>
        <v>0</v>
      </c>
      <c r="H47" s="6">
        <f>TotalCIP630064006500</f>
        <v>0</v>
      </c>
      <c r="I47" s="6">
        <f>TotalCIP6600</f>
        <v>0</v>
      </c>
      <c r="J47" s="6">
        <f>TotalCIP6800</f>
        <v>0</v>
      </c>
      <c r="K47" s="21">
        <f>[1]!SP1000CompInstrProj</f>
        <v>0</v>
      </c>
      <c r="L47" s="6">
        <f>TotalCIP</f>
        <v>0</v>
      </c>
      <c r="M47" s="10" t="str">
        <f t="shared" si="3"/>
        <v> </v>
      </c>
      <c r="N47" s="68">
        <v>36</v>
      </c>
    </row>
    <row r="48" spans="1:14" ht="12" customHeight="1">
      <c r="A48" s="204" t="s">
        <v>10</v>
      </c>
      <c r="B48" s="199"/>
      <c r="C48" s="199"/>
      <c r="D48" s="199"/>
      <c r="E48" s="209">
        <v>37</v>
      </c>
      <c r="F48" s="96"/>
      <c r="G48" s="96"/>
      <c r="H48" s="96"/>
      <c r="I48" s="96"/>
      <c r="J48" s="96"/>
      <c r="K48" s="21">
        <v>73077</v>
      </c>
      <c r="L48" s="6">
        <f>FederalandStateProjectsTotal</f>
        <v>115648</v>
      </c>
      <c r="M48" s="10">
        <f t="shared" si="3"/>
        <v>0.583</v>
      </c>
      <c r="N48" s="68">
        <v>37</v>
      </c>
    </row>
    <row r="49" spans="1:14" ht="12" customHeight="1">
      <c r="A49" s="72"/>
      <c r="B49" s="104" t="s">
        <v>2</v>
      </c>
      <c r="C49" s="26"/>
      <c r="D49" s="26"/>
      <c r="E49" s="5">
        <v>38</v>
      </c>
      <c r="F49" s="11">
        <f>SUM(F43+F44+F46+F47)</f>
        <v>992591</v>
      </c>
      <c r="G49" s="11">
        <f>SUM(G43+G44+G46+G47)</f>
        <v>364798</v>
      </c>
      <c r="H49" s="11">
        <f>SUM(H43+H44+H46+H47)</f>
        <v>4020075</v>
      </c>
      <c r="I49" s="11">
        <f>SUM(I43+I44+I46+I47)</f>
        <v>137988</v>
      </c>
      <c r="J49" s="11">
        <f>SUM(J43+J46+J47)</f>
        <v>300400</v>
      </c>
      <c r="K49" s="8">
        <f>SUM(K43:K48)</f>
        <v>2695638</v>
      </c>
      <c r="L49" s="8">
        <f>SUM(L43:L48)</f>
        <v>5965500</v>
      </c>
      <c r="M49" s="10">
        <f>IF(K49=0," ",(L49-K49)/K49)</f>
        <v>1.213</v>
      </c>
      <c r="N49" s="68">
        <v>38</v>
      </c>
    </row>
    <row r="52" ht="12.75" customHeight="1">
      <c r="F52" s="192"/>
    </row>
  </sheetData>
  <sheetProtection sheet="1"/>
  <mergeCells count="4">
    <mergeCell ref="D1:F1"/>
    <mergeCell ref="I1:J1"/>
    <mergeCell ref="M1:N1"/>
    <mergeCell ref="D4:D5"/>
  </mergeCells>
  <hyperlinks>
    <hyperlink ref="G4" r:id="rId1" display="Employee"/>
    <hyperlink ref="G5" r:id="rId2" display="Benefits"/>
    <hyperlink ref="A24:D24" location="Pg1Program200" display="200 Special Education"/>
    <hyperlink ref="A42:D42" location="Pg1Program550" display="550 K-3 Reading"/>
    <hyperlink ref="G4:G5" location="Pg1EmployeeBenefits" display="Employee"/>
    <hyperlink ref="A48:D48" location="Pg1Line37" display="Federal and State Projects (from page 2, line 30)"/>
  </hyperlinks>
  <printOptions horizontalCentered="1" verticalCentered="1"/>
  <pageMargins left="0.75" right="0.5" top="0.25" bottom="0.25" header="0" footer="0"/>
  <pageSetup fitToHeight="1" fitToWidth="1" horizontalDpi="300" verticalDpi="300" orientation="landscape" scale="79" r:id="rId4"/>
  <headerFooter>
    <oddFooter>&amp;L&amp;"Arial,Bold"Rev. 5/19 Arizona Department of Education and Auditor General&amp;R&amp;"Arial,Bold"Page  1 of 4</oddFooter>
  </headerFooter>
  <ignoredErrors>
    <ignoredError sqref="L41 F23:J23 L28:L36 L11:L20 L39 L22" formulaRange="1"/>
  </ignoredErrors>
  <drawing r:id="rId3"/>
</worksheet>
</file>

<file path=xl/worksheets/sheet4.xml><?xml version="1.0" encoding="utf-8"?>
<worksheet xmlns="http://schemas.openxmlformats.org/spreadsheetml/2006/main" xmlns:r="http://schemas.openxmlformats.org/officeDocument/2006/relationships">
  <sheetPr codeName="Sheet3">
    <pageSetUpPr fitToPage="1"/>
  </sheetPr>
  <dimension ref="A1:X51"/>
  <sheetViews>
    <sheetView showGridLines="0" zoomScale="90" zoomScaleNormal="90" workbookViewId="0" topLeftCell="A1">
      <selection activeCell="N10" sqref="N10"/>
    </sheetView>
  </sheetViews>
  <sheetFormatPr defaultColWidth="9.140625" defaultRowHeight="12.75" customHeight="1"/>
  <cols>
    <col min="1" max="1" width="3.7109375" style="0" customWidth="1"/>
    <col min="2" max="2" width="14.57421875" style="0" customWidth="1"/>
    <col min="3" max="3" width="35.140625" style="0" customWidth="1"/>
    <col min="4" max="5" width="12.28125" style="0" customWidth="1"/>
    <col min="6" max="6" width="3.7109375" style="0" customWidth="1"/>
    <col min="7" max="7" width="5.28125" style="0" customWidth="1"/>
    <col min="8" max="8" width="27.421875" style="0" customWidth="1"/>
    <col min="9" max="9" width="6.7109375" style="0" customWidth="1"/>
    <col min="10" max="10" width="6.421875" style="0" customWidth="1"/>
    <col min="11" max="11" width="5.421875" style="0" customWidth="1"/>
    <col min="12" max="12" width="7.140625" style="0" customWidth="1"/>
    <col min="13" max="14" width="12.28125" style="0" customWidth="1"/>
    <col min="15" max="15" width="3.7109375" style="0" customWidth="1"/>
    <col min="16" max="16" width="7.7109375" style="0" customWidth="1"/>
  </cols>
  <sheetData>
    <row r="1" spans="1:24" ht="13.5" customHeight="1">
      <c r="A1" s="85" t="s">
        <v>285</v>
      </c>
      <c r="C1" s="581" t="str">
        <f>Cover!D1</f>
        <v>NORTH STAR CHARTER SCHOOL, INC.</v>
      </c>
      <c r="D1" s="582"/>
      <c r="E1" s="582"/>
      <c r="F1" s="582"/>
      <c r="H1" s="36" t="s">
        <v>286</v>
      </c>
      <c r="I1" s="583" t="str">
        <f>Cover!M1</f>
        <v>MARICOPA</v>
      </c>
      <c r="J1" s="575"/>
      <c r="K1" s="575"/>
      <c r="M1" s="36" t="s">
        <v>374</v>
      </c>
      <c r="N1" s="201" t="str">
        <f>Cover!R1</f>
        <v>078945000</v>
      </c>
      <c r="P1" s="85"/>
      <c r="Q1" s="85"/>
      <c r="R1" s="85"/>
      <c r="S1" s="85"/>
      <c r="T1" s="85"/>
      <c r="U1" s="85"/>
      <c r="V1" s="85"/>
      <c r="W1" s="85"/>
      <c r="X1" s="85"/>
    </row>
    <row r="2" spans="1:24" ht="7.5" customHeight="1">
      <c r="A2" s="86"/>
      <c r="B2" s="29"/>
      <c r="C2" s="29"/>
      <c r="D2" s="29"/>
      <c r="E2" s="29"/>
      <c r="H2" s="189"/>
      <c r="I2" s="188"/>
      <c r="J2" s="188"/>
      <c r="K2" s="188"/>
      <c r="L2" s="188"/>
      <c r="M2" s="188"/>
      <c r="N2" s="188"/>
      <c r="P2" s="85"/>
      <c r="Q2" s="85"/>
      <c r="R2" s="85"/>
      <c r="S2" s="85"/>
      <c r="T2" s="85"/>
      <c r="U2" s="85"/>
      <c r="V2" s="85"/>
      <c r="W2" s="85"/>
      <c r="X2" s="85"/>
    </row>
    <row r="3" spans="1:24" ht="12" customHeight="1">
      <c r="A3" s="535" t="s">
        <v>358</v>
      </c>
      <c r="B3" s="535"/>
      <c r="C3" s="535"/>
      <c r="D3" s="214"/>
      <c r="E3" s="214"/>
      <c r="H3" s="205" t="s">
        <v>341</v>
      </c>
      <c r="I3" s="198"/>
      <c r="J3" s="198"/>
      <c r="K3" s="198"/>
      <c r="L3" s="198"/>
      <c r="M3" s="198"/>
      <c r="N3" s="198"/>
      <c r="P3" s="85"/>
      <c r="Q3" s="580"/>
      <c r="R3" s="580"/>
      <c r="S3" s="85"/>
      <c r="T3" s="85"/>
      <c r="U3" s="85"/>
      <c r="V3" s="85"/>
      <c r="W3" s="85"/>
      <c r="X3" s="85"/>
    </row>
    <row r="4" spans="1:24" ht="40.5" customHeight="1">
      <c r="A4" t="s">
        <v>316</v>
      </c>
      <c r="D4" s="106" t="s">
        <v>225</v>
      </c>
      <c r="E4" s="106" t="s">
        <v>226</v>
      </c>
      <c r="H4" s="29"/>
      <c r="I4" s="29"/>
      <c r="J4" s="29"/>
      <c r="K4" s="29"/>
      <c r="M4" s="106" t="s">
        <v>227</v>
      </c>
      <c r="N4" s="106" t="s">
        <v>228</v>
      </c>
      <c r="P4" s="85"/>
      <c r="Q4" s="580"/>
      <c r="R4" s="580"/>
      <c r="S4" s="85"/>
      <c r="T4" s="85"/>
      <c r="U4" s="85"/>
      <c r="V4" s="85"/>
      <c r="W4" s="85"/>
      <c r="X4" s="85"/>
    </row>
    <row r="5" spans="1:24" ht="12" customHeight="1">
      <c r="A5" s="116">
        <v>1</v>
      </c>
      <c r="B5" s="118" t="s">
        <v>464</v>
      </c>
      <c r="C5" s="117"/>
      <c r="D5" s="111">
        <v>38463</v>
      </c>
      <c r="E5" s="111">
        <v>49111</v>
      </c>
      <c r="F5" s="27">
        <v>1</v>
      </c>
      <c r="G5" s="120">
        <v>1</v>
      </c>
      <c r="H5" s="210" t="s">
        <v>548</v>
      </c>
      <c r="I5" s="210"/>
      <c r="J5" s="226"/>
      <c r="K5" s="117"/>
      <c r="M5" s="112">
        <v>42000</v>
      </c>
      <c r="N5" s="112">
        <v>66537</v>
      </c>
      <c r="O5" s="27">
        <v>1</v>
      </c>
      <c r="P5" s="85"/>
      <c r="Q5" s="85"/>
      <c r="R5" s="213"/>
      <c r="S5" s="213"/>
      <c r="T5" s="85"/>
      <c r="U5" s="85"/>
      <c r="V5" s="85"/>
      <c r="W5" s="85"/>
      <c r="X5" s="85"/>
    </row>
    <row r="6" spans="1:24" ht="12" customHeight="1">
      <c r="A6" s="116">
        <v>2</v>
      </c>
      <c r="B6" s="118" t="s">
        <v>465</v>
      </c>
      <c r="C6" s="117"/>
      <c r="D6" s="111">
        <f>[1]!FP11401150TitleII</f>
        <v>0</v>
      </c>
      <c r="E6" s="111"/>
      <c r="F6" s="27">
        <v>2</v>
      </c>
      <c r="G6" s="120">
        <v>2</v>
      </c>
      <c r="H6" s="117" t="s">
        <v>318</v>
      </c>
      <c r="I6" s="117"/>
      <c r="J6" s="117"/>
      <c r="K6" s="117"/>
      <c r="M6" s="112">
        <f>[1]!P200GiftedEducation</f>
        <v>0</v>
      </c>
      <c r="N6" s="112"/>
      <c r="O6" s="27">
        <v>2</v>
      </c>
      <c r="P6" s="85"/>
      <c r="Q6" s="85"/>
      <c r="R6" s="213"/>
      <c r="S6" s="213"/>
      <c r="T6" s="85"/>
      <c r="U6" s="85"/>
      <c r="V6" s="85"/>
      <c r="W6" s="85"/>
      <c r="X6" s="85"/>
    </row>
    <row r="7" spans="1:24" ht="12" customHeight="1">
      <c r="A7" s="116">
        <v>3</v>
      </c>
      <c r="B7" s="118" t="s">
        <v>466</v>
      </c>
      <c r="C7" s="117"/>
      <c r="D7" s="111">
        <f>[1]!FP1160TitleIV</f>
        <v>0</v>
      </c>
      <c r="E7" s="111"/>
      <c r="F7" s="27">
        <v>3</v>
      </c>
      <c r="G7" s="120">
        <v>3</v>
      </c>
      <c r="H7" s="117" t="s">
        <v>430</v>
      </c>
      <c r="I7" s="117"/>
      <c r="J7" s="117"/>
      <c r="K7" s="117"/>
      <c r="M7" s="111">
        <f>[1]!P200ELLIncrementalCosts</f>
        <v>0</v>
      </c>
      <c r="N7" s="111"/>
      <c r="O7" s="27">
        <v>3</v>
      </c>
      <c r="P7" s="85"/>
      <c r="Q7" s="85"/>
      <c r="R7" s="213"/>
      <c r="S7" s="213"/>
      <c r="T7" s="85"/>
      <c r="U7" s="85"/>
      <c r="V7" s="85"/>
      <c r="W7" s="85"/>
      <c r="X7" s="85"/>
    </row>
    <row r="8" spans="1:24" ht="12" customHeight="1">
      <c r="A8" s="116">
        <v>4</v>
      </c>
      <c r="B8" s="118" t="s">
        <v>467</v>
      </c>
      <c r="C8" s="117"/>
      <c r="D8" s="111">
        <f>[1]!FP11701180TitleV</f>
        <v>0</v>
      </c>
      <c r="E8" s="111"/>
      <c r="F8" s="27">
        <v>4</v>
      </c>
      <c r="G8" s="120">
        <v>4</v>
      </c>
      <c r="H8" s="117" t="s">
        <v>431</v>
      </c>
      <c r="I8" s="117"/>
      <c r="J8" s="117"/>
      <c r="K8" s="117"/>
      <c r="M8" s="111">
        <f>[1]!P200ELLCompensatoryInstruction</f>
        <v>0</v>
      </c>
      <c r="N8" s="111"/>
      <c r="O8" s="27">
        <v>4</v>
      </c>
      <c r="P8" s="85"/>
      <c r="Q8" s="85"/>
      <c r="R8" s="213"/>
      <c r="S8" s="213"/>
      <c r="T8" s="85"/>
      <c r="U8" s="85"/>
      <c r="V8" s="85"/>
      <c r="W8" s="85"/>
      <c r="X8" s="85"/>
    </row>
    <row r="9" spans="1:24" ht="12" customHeight="1">
      <c r="A9" s="116">
        <v>5</v>
      </c>
      <c r="B9" s="118" t="s">
        <v>468</v>
      </c>
      <c r="C9" s="117"/>
      <c r="D9" s="111">
        <f>[1]!FP1190TitleIII</f>
        <v>0</v>
      </c>
      <c r="E9" s="111"/>
      <c r="F9" s="27">
        <v>5</v>
      </c>
      <c r="G9" s="120">
        <v>5</v>
      </c>
      <c r="H9" s="117" t="s">
        <v>319</v>
      </c>
      <c r="I9" s="117"/>
      <c r="J9" s="117"/>
      <c r="K9" s="117"/>
      <c r="M9" s="111">
        <f>[1]!P200RemedialEducation</f>
        <v>0</v>
      </c>
      <c r="N9" s="111"/>
      <c r="O9" s="27">
        <v>5</v>
      </c>
      <c r="P9" s="85"/>
      <c r="Q9" s="85"/>
      <c r="R9" s="213"/>
      <c r="S9" s="213"/>
      <c r="T9" s="85"/>
      <c r="U9" s="85"/>
      <c r="V9" s="85"/>
      <c r="W9" s="85"/>
      <c r="X9" s="85"/>
    </row>
    <row r="10" spans="1:24" ht="12" customHeight="1">
      <c r="A10" s="116">
        <v>6</v>
      </c>
      <c r="B10" s="118" t="s">
        <v>469</v>
      </c>
      <c r="C10" s="117"/>
      <c r="D10" s="111">
        <f>[1]!FP1200TitleVII</f>
        <v>0</v>
      </c>
      <c r="E10" s="111"/>
      <c r="F10" s="27">
        <v>6</v>
      </c>
      <c r="G10" s="120">
        <v>6</v>
      </c>
      <c r="H10" s="483" t="s">
        <v>229</v>
      </c>
      <c r="I10" s="117"/>
      <c r="J10" s="117"/>
      <c r="K10" s="117"/>
      <c r="M10" s="111">
        <f>[1]!P200VocationalandTechnologicalEd</f>
        <v>0</v>
      </c>
      <c r="N10" s="111"/>
      <c r="O10" s="27">
        <v>6</v>
      </c>
      <c r="P10" s="85"/>
      <c r="Q10" s="85"/>
      <c r="R10" s="213"/>
      <c r="S10" s="213"/>
      <c r="T10" s="85"/>
      <c r="U10" s="85"/>
      <c r="V10" s="85"/>
      <c r="W10" s="85"/>
      <c r="X10" s="85"/>
    </row>
    <row r="11" spans="1:24" ht="12" customHeight="1">
      <c r="A11" s="116">
        <v>7</v>
      </c>
      <c r="B11" s="118" t="s">
        <v>470</v>
      </c>
      <c r="C11" s="117"/>
      <c r="D11" s="111">
        <f>[1]!FP1210TitleVI</f>
        <v>0</v>
      </c>
      <c r="E11" s="111"/>
      <c r="F11" s="27">
        <v>7</v>
      </c>
      <c r="G11" s="120">
        <v>7</v>
      </c>
      <c r="H11" s="117" t="s">
        <v>320</v>
      </c>
      <c r="I11" s="117"/>
      <c r="J11" s="117"/>
      <c r="K11" s="117"/>
      <c r="M11" s="111">
        <f>[1]!P200CareerEducation</f>
        <v>0</v>
      </c>
      <c r="N11" s="111"/>
      <c r="O11" s="27">
        <v>7</v>
      </c>
      <c r="P11" s="85"/>
      <c r="Q11" s="85"/>
      <c r="R11" s="213"/>
      <c r="S11" s="213"/>
      <c r="T11" s="85"/>
      <c r="U11" s="85"/>
      <c r="V11" s="85"/>
      <c r="W11" s="85"/>
      <c r="X11" s="85"/>
    </row>
    <row r="12" spans="1:24" ht="12" customHeight="1">
      <c r="A12" s="116">
        <v>8</v>
      </c>
      <c r="B12" s="117" t="s">
        <v>331</v>
      </c>
      <c r="C12" s="117"/>
      <c r="D12" s="111">
        <v>34614</v>
      </c>
      <c r="E12" s="111">
        <v>66537</v>
      </c>
      <c r="F12" s="27">
        <v>8</v>
      </c>
      <c r="G12" s="120">
        <v>8</v>
      </c>
      <c r="H12" s="210" t="s">
        <v>547</v>
      </c>
      <c r="I12" s="210"/>
      <c r="J12" s="226"/>
      <c r="K12" s="117"/>
      <c r="M12" s="228">
        <f>SUM(M5:M11)</f>
        <v>42000</v>
      </c>
      <c r="N12" s="228">
        <f>SUM(N5:N11)</f>
        <v>66537</v>
      </c>
      <c r="O12" s="27">
        <v>8</v>
      </c>
      <c r="P12" s="85"/>
      <c r="Q12" s="85"/>
      <c r="R12" s="213"/>
      <c r="S12" s="213"/>
      <c r="T12" s="85"/>
      <c r="U12" s="85"/>
      <c r="V12" s="85"/>
      <c r="W12" s="85"/>
      <c r="X12" s="85"/>
    </row>
    <row r="13" spans="1:24" ht="12" customHeight="1">
      <c r="A13" s="116">
        <v>9</v>
      </c>
      <c r="B13" s="117" t="s">
        <v>332</v>
      </c>
      <c r="C13" s="117"/>
      <c r="D13" s="111">
        <f>[1]!FP1230Johnson</f>
        <v>0</v>
      </c>
      <c r="E13" s="111"/>
      <c r="F13" s="27">
        <v>9</v>
      </c>
      <c r="G13" s="120"/>
      <c r="H13" s="118"/>
      <c r="I13" s="117"/>
      <c r="J13" s="117"/>
      <c r="K13" s="117"/>
      <c r="M13" s="123"/>
      <c r="N13" s="123"/>
      <c r="O13" s="27"/>
      <c r="P13" s="85"/>
      <c r="Q13" s="85"/>
      <c r="R13" s="213"/>
      <c r="S13" s="213"/>
      <c r="T13" s="85"/>
      <c r="U13" s="85"/>
      <c r="V13" s="85"/>
      <c r="W13" s="85"/>
      <c r="X13" s="85"/>
    </row>
    <row r="14" spans="1:24" ht="12" customHeight="1">
      <c r="A14" s="116">
        <v>10</v>
      </c>
      <c r="B14" s="117" t="s">
        <v>416</v>
      </c>
      <c r="C14" s="117"/>
      <c r="D14" s="111">
        <f>[1]!FP1240WIA</f>
        <v>0</v>
      </c>
      <c r="E14" s="111"/>
      <c r="F14" s="27">
        <v>10</v>
      </c>
      <c r="G14" s="120"/>
      <c r="H14" s="205" t="s">
        <v>458</v>
      </c>
      <c r="I14" s="198"/>
      <c r="J14" s="198"/>
      <c r="K14" s="198"/>
      <c r="L14" s="198"/>
      <c r="M14" s="123"/>
      <c r="N14" s="123"/>
      <c r="O14" s="27"/>
      <c r="P14" s="85"/>
      <c r="Q14" s="85"/>
      <c r="R14" s="213"/>
      <c r="S14" s="213"/>
      <c r="T14" s="85"/>
      <c r="U14" s="85"/>
      <c r="V14" s="85"/>
      <c r="W14" s="85"/>
      <c r="X14" s="85"/>
    </row>
    <row r="15" spans="1:24" ht="12" customHeight="1">
      <c r="A15" s="116">
        <v>11</v>
      </c>
      <c r="B15" s="118" t="s">
        <v>471</v>
      </c>
      <c r="C15" s="117"/>
      <c r="D15" s="111">
        <f>[1]!FP1250AEA</f>
        <v>0</v>
      </c>
      <c r="E15" s="111"/>
      <c r="F15" s="27">
        <v>11</v>
      </c>
      <c r="G15" s="120"/>
      <c r="H15" s="121" t="s">
        <v>419</v>
      </c>
      <c r="I15" s="12"/>
      <c r="M15" s="225"/>
      <c r="N15" s="224"/>
      <c r="O15" s="27"/>
      <c r="P15" s="85"/>
      <c r="Q15" s="85"/>
      <c r="R15" s="213"/>
      <c r="S15" s="213"/>
      <c r="T15" s="85"/>
      <c r="U15" s="85"/>
      <c r="V15" s="85"/>
      <c r="W15" s="85"/>
      <c r="X15" s="85"/>
    </row>
    <row r="16" spans="1:24" ht="12" customHeight="1">
      <c r="A16" s="116">
        <v>12</v>
      </c>
      <c r="B16" s="118" t="s">
        <v>472</v>
      </c>
      <c r="C16" s="117"/>
      <c r="D16" s="111">
        <f>[1]!FP12601270VocEd</f>
        <v>0</v>
      </c>
      <c r="E16" s="111"/>
      <c r="F16" s="27">
        <v>12</v>
      </c>
      <c r="G16" s="120"/>
      <c r="H16" s="117"/>
      <c r="I16" s="117"/>
      <c r="J16" s="117"/>
      <c r="K16" s="117"/>
      <c r="M16" s="586" t="s">
        <v>230</v>
      </c>
      <c r="N16" s="586" t="s">
        <v>226</v>
      </c>
      <c r="O16" s="27"/>
      <c r="P16" s="85"/>
      <c r="Q16" s="85"/>
      <c r="R16" s="213"/>
      <c r="S16" s="213"/>
      <c r="T16" s="85"/>
      <c r="U16" s="85"/>
      <c r="V16" s="85"/>
      <c r="W16" s="85"/>
      <c r="X16" s="85"/>
    </row>
    <row r="17" spans="1:24" ht="12" customHeight="1">
      <c r="A17" s="116">
        <v>13</v>
      </c>
      <c r="B17" s="118" t="s">
        <v>473</v>
      </c>
      <c r="C17" s="117"/>
      <c r="D17" s="111">
        <f>[1]!FP1280TitleX</f>
        <v>0</v>
      </c>
      <c r="E17" s="111"/>
      <c r="F17" s="27">
        <v>13</v>
      </c>
      <c r="G17" s="120"/>
      <c r="H17" s="117"/>
      <c r="I17" s="117"/>
      <c r="J17" s="117"/>
      <c r="K17" s="117"/>
      <c r="M17" s="586"/>
      <c r="N17" s="586"/>
      <c r="O17" s="27"/>
      <c r="P17" s="85"/>
      <c r="Q17" s="85"/>
      <c r="R17" s="213"/>
      <c r="S17" s="213"/>
      <c r="T17" s="85"/>
      <c r="U17" s="85"/>
      <c r="V17" s="85"/>
      <c r="W17" s="85"/>
      <c r="X17" s="85"/>
    </row>
    <row r="18" spans="1:24" ht="12" customHeight="1">
      <c r="A18" s="116">
        <v>14</v>
      </c>
      <c r="B18" s="118" t="s">
        <v>351</v>
      </c>
      <c r="C18" s="117"/>
      <c r="D18" s="111">
        <f>[1]!FP1290Medicaid</f>
        <v>0</v>
      </c>
      <c r="E18" s="111"/>
      <c r="F18" s="27">
        <v>14</v>
      </c>
      <c r="G18" s="116" t="s">
        <v>328</v>
      </c>
      <c r="H18" s="121" t="s">
        <v>417</v>
      </c>
      <c r="I18" s="121"/>
      <c r="J18" s="117"/>
      <c r="K18" s="117"/>
      <c r="M18" s="112">
        <f>[1]!IIPTeacherCompensationIncreases</f>
        <v>0</v>
      </c>
      <c r="N18" s="112"/>
      <c r="O18" s="116" t="s">
        <v>328</v>
      </c>
      <c r="P18" s="85"/>
      <c r="Q18" s="85"/>
      <c r="R18" s="213"/>
      <c r="S18" s="213"/>
      <c r="T18" s="85"/>
      <c r="U18" s="85"/>
      <c r="V18" s="85"/>
      <c r="W18" s="85"/>
      <c r="X18" s="85"/>
    </row>
    <row r="19" spans="1:24" ht="12" customHeight="1">
      <c r="A19" s="116">
        <v>15</v>
      </c>
      <c r="B19" s="117" t="s">
        <v>359</v>
      </c>
      <c r="C19" s="117"/>
      <c r="D19" s="112">
        <f>[1]!FP1300Charter</f>
        <v>0</v>
      </c>
      <c r="E19" s="112"/>
      <c r="F19" s="27">
        <v>15</v>
      </c>
      <c r="G19" s="116" t="s">
        <v>329</v>
      </c>
      <c r="H19" s="122" t="s">
        <v>418</v>
      </c>
      <c r="I19" s="122"/>
      <c r="J19" s="223"/>
      <c r="M19" s="112">
        <f>[1]!IIPClassSizeReduction</f>
        <v>0</v>
      </c>
      <c r="N19" s="112"/>
      <c r="O19" s="116" t="s">
        <v>329</v>
      </c>
      <c r="P19" s="85"/>
      <c r="Q19" s="85"/>
      <c r="R19" s="213"/>
      <c r="S19" s="213"/>
      <c r="T19" s="85"/>
      <c r="U19" s="85"/>
      <c r="V19" s="85"/>
      <c r="W19" s="85"/>
      <c r="X19" s="85"/>
    </row>
    <row r="20" spans="1:24" ht="12" customHeight="1">
      <c r="A20" s="116">
        <v>16</v>
      </c>
      <c r="B20" s="118" t="s">
        <v>535</v>
      </c>
      <c r="C20" s="117"/>
      <c r="D20" s="221">
        <f>[1]!FP13__ImpactAid</f>
        <v>0</v>
      </c>
      <c r="E20" s="221"/>
      <c r="F20" s="27">
        <v>16</v>
      </c>
      <c r="G20" s="116" t="s">
        <v>390</v>
      </c>
      <c r="H20" s="210" t="s">
        <v>515</v>
      </c>
      <c r="I20" s="210"/>
      <c r="J20" s="226"/>
      <c r="K20" s="227"/>
      <c r="M20" s="112">
        <v>15200</v>
      </c>
      <c r="N20" s="112">
        <v>34000</v>
      </c>
      <c r="O20" s="116" t="s">
        <v>390</v>
      </c>
      <c r="P20" s="85"/>
      <c r="Q20" s="85"/>
      <c r="R20" s="213"/>
      <c r="S20" s="213"/>
      <c r="T20" s="85"/>
      <c r="U20" s="85"/>
      <c r="V20" s="85"/>
      <c r="W20" s="85"/>
      <c r="X20" s="85"/>
    </row>
    <row r="21" spans="1:24" ht="12" customHeight="1" thickBot="1">
      <c r="A21" s="116">
        <v>17</v>
      </c>
      <c r="B21" s="117" t="s">
        <v>355</v>
      </c>
      <c r="C21" s="117"/>
      <c r="D21" s="113">
        <f>[1]!FP13101399Other</f>
        <v>0</v>
      </c>
      <c r="E21" s="113"/>
      <c r="F21" s="27">
        <v>17</v>
      </c>
      <c r="G21" s="116" t="s">
        <v>391</v>
      </c>
      <c r="H21" s="210" t="s">
        <v>516</v>
      </c>
      <c r="I21" s="210"/>
      <c r="J21" s="226"/>
      <c r="K21" s="227"/>
      <c r="M21" s="113">
        <f>[1]!IIPInstructionalImprovementPrograms</f>
        <v>0</v>
      </c>
      <c r="N21" s="113"/>
      <c r="O21" s="116" t="s">
        <v>391</v>
      </c>
      <c r="P21" s="85"/>
      <c r="Q21" s="85"/>
      <c r="R21" s="213"/>
      <c r="S21" s="213"/>
      <c r="T21" s="85"/>
      <c r="U21" s="85"/>
      <c r="V21" s="85"/>
      <c r="W21" s="85"/>
      <c r="X21" s="85"/>
    </row>
    <row r="22" spans="1:24" ht="12" customHeight="1" thickBot="1">
      <c r="A22" s="116">
        <v>18</v>
      </c>
      <c r="B22" s="118" t="s">
        <v>534</v>
      </c>
      <c r="C22" s="117"/>
      <c r="D22" s="115">
        <f>SUM(D5:D21)</f>
        <v>73077</v>
      </c>
      <c r="E22" s="115">
        <f>SUM(E5:E21)</f>
        <v>115648</v>
      </c>
      <c r="F22" s="27">
        <v>18</v>
      </c>
      <c r="G22" s="116" t="s">
        <v>392</v>
      </c>
      <c r="H22" s="121" t="s">
        <v>420</v>
      </c>
      <c r="I22" s="121"/>
      <c r="J22" s="117"/>
      <c r="K22" s="117"/>
      <c r="M22" s="115">
        <f>SUM(M18:M21)</f>
        <v>15200</v>
      </c>
      <c r="N22" s="115">
        <f>SUM(N18:N21)</f>
        <v>34000</v>
      </c>
      <c r="O22" s="116" t="s">
        <v>392</v>
      </c>
      <c r="P22" s="85"/>
      <c r="Q22" s="85"/>
      <c r="R22" s="213"/>
      <c r="S22" s="213"/>
      <c r="T22" s="85"/>
      <c r="U22" s="85"/>
      <c r="V22" s="85"/>
      <c r="W22" s="85"/>
      <c r="X22" s="85"/>
    </row>
    <row r="23" spans="1:24" ht="12" customHeight="1" thickTop="1">
      <c r="A23" s="119" t="s">
        <v>317</v>
      </c>
      <c r="B23" s="117"/>
      <c r="C23" s="117"/>
      <c r="D23" s="143"/>
      <c r="E23" s="144"/>
      <c r="F23" s="27"/>
      <c r="K23" s="223"/>
      <c r="P23" s="85"/>
      <c r="Q23" s="85"/>
      <c r="R23" s="213"/>
      <c r="S23" s="213"/>
      <c r="T23" s="85"/>
      <c r="U23" s="85"/>
      <c r="V23" s="85"/>
      <c r="W23" s="85"/>
      <c r="X23" s="85"/>
    </row>
    <row r="24" spans="1:24" ht="12" customHeight="1">
      <c r="A24" s="116">
        <v>19</v>
      </c>
      <c r="B24" s="117" t="s">
        <v>333</v>
      </c>
      <c r="C24" s="117"/>
      <c r="D24" s="22">
        <f>[1]!SP1400VocEd</f>
        <v>0</v>
      </c>
      <c r="E24" s="22"/>
      <c r="F24" s="27">
        <v>19</v>
      </c>
      <c r="H24" s="86" t="s">
        <v>342</v>
      </c>
      <c r="I24" s="29"/>
      <c r="J24" s="29"/>
      <c r="L24" s="205" t="s">
        <v>344</v>
      </c>
      <c r="M24" s="198"/>
      <c r="N24" s="198"/>
      <c r="O24" s="198"/>
      <c r="P24" s="85"/>
      <c r="Q24" s="85"/>
      <c r="R24" s="213"/>
      <c r="S24" s="213"/>
      <c r="T24" s="85"/>
      <c r="U24" s="85"/>
      <c r="V24" s="85"/>
      <c r="W24" s="85"/>
      <c r="X24" s="85"/>
    </row>
    <row r="25" spans="1:24" ht="12" customHeight="1">
      <c r="A25" s="116">
        <v>20</v>
      </c>
      <c r="B25" s="117" t="s">
        <v>352</v>
      </c>
      <c r="C25" s="117"/>
      <c r="D25" s="111">
        <f>[1]!SP1410EarlyChildhoodBlockGrant</f>
        <v>0</v>
      </c>
      <c r="E25" s="111"/>
      <c r="F25" s="27">
        <v>20</v>
      </c>
      <c r="H25" s="86" t="s">
        <v>343</v>
      </c>
      <c r="I25" s="29"/>
      <c r="J25" s="29"/>
      <c r="L25" s="29" t="s">
        <v>324</v>
      </c>
      <c r="M25" s="29"/>
      <c r="N25" s="29"/>
      <c r="P25" s="85"/>
      <c r="Q25" s="85"/>
      <c r="R25" s="213"/>
      <c r="S25" s="213"/>
      <c r="T25" s="85"/>
      <c r="U25" s="85"/>
      <c r="V25" s="85"/>
      <c r="W25" s="85"/>
      <c r="X25" s="85"/>
    </row>
    <row r="26" spans="1:24" ht="12" customHeight="1">
      <c r="A26" s="116">
        <v>21</v>
      </c>
      <c r="B26" s="118" t="s">
        <v>474</v>
      </c>
      <c r="C26" s="117"/>
      <c r="D26" s="111">
        <f>[1]!FP1420ExtendedSchool</f>
        <v>0</v>
      </c>
      <c r="E26" s="111"/>
      <c r="F26" s="27">
        <v>21</v>
      </c>
      <c r="H26" t="s">
        <v>321</v>
      </c>
      <c r="I26" s="36" t="s">
        <v>322</v>
      </c>
      <c r="J26" s="89">
        <v>12</v>
      </c>
      <c r="L26" s="43" t="s">
        <v>325</v>
      </c>
      <c r="N26" s="23">
        <v>18000</v>
      </c>
      <c r="P26" s="85"/>
      <c r="Q26" s="85"/>
      <c r="R26" s="213"/>
      <c r="S26" s="213"/>
      <c r="T26" s="85"/>
      <c r="U26" s="85"/>
      <c r="V26" s="85"/>
      <c r="W26" s="85"/>
      <c r="X26" s="85"/>
    </row>
    <row r="27" spans="1:24" ht="12" customHeight="1">
      <c r="A27" s="116">
        <v>22</v>
      </c>
      <c r="B27" s="117" t="s">
        <v>334</v>
      </c>
      <c r="C27" s="117"/>
      <c r="D27" s="111">
        <f>[1]!SP1425AdultBasicEd</f>
        <v>0</v>
      </c>
      <c r="E27" s="111"/>
      <c r="F27" s="27">
        <v>22</v>
      </c>
      <c r="G27" s="211"/>
      <c r="H27" t="s">
        <v>323</v>
      </c>
      <c r="I27" s="36" t="s">
        <v>322</v>
      </c>
      <c r="J27" s="236">
        <v>12</v>
      </c>
      <c r="K27" s="117"/>
      <c r="L27" s="107" t="s">
        <v>326</v>
      </c>
      <c r="N27" s="23">
        <v>4740703</v>
      </c>
      <c r="O27" s="27"/>
      <c r="P27" s="85"/>
      <c r="Q27" s="85"/>
      <c r="R27" s="213"/>
      <c r="S27" s="213"/>
      <c r="T27" s="85"/>
      <c r="U27" s="85"/>
      <c r="V27" s="85"/>
      <c r="W27" s="85"/>
      <c r="X27" s="85"/>
    </row>
    <row r="28" spans="1:24" ht="12" customHeight="1">
      <c r="A28" s="116">
        <v>23</v>
      </c>
      <c r="B28" s="117" t="s">
        <v>335</v>
      </c>
      <c r="C28" s="117"/>
      <c r="D28" s="111">
        <f>[1]!SP1430ChemicalAbuse</f>
        <v>0</v>
      </c>
      <c r="E28" s="111"/>
      <c r="F28" s="27">
        <v>23</v>
      </c>
      <c r="I28" s="36"/>
      <c r="J28" s="90"/>
      <c r="L28" s="107"/>
      <c r="N28" s="110"/>
      <c r="P28" s="85"/>
      <c r="Q28" s="85"/>
      <c r="R28" s="85"/>
      <c r="S28" s="85"/>
      <c r="T28" s="85"/>
      <c r="U28" s="85"/>
      <c r="V28" s="85"/>
      <c r="W28" s="85"/>
      <c r="X28" s="85"/>
    </row>
    <row r="29" spans="1:24" ht="12" customHeight="1">
      <c r="A29" s="116">
        <v>24</v>
      </c>
      <c r="B29" s="117" t="s">
        <v>336</v>
      </c>
      <c r="C29" s="117"/>
      <c r="D29" s="111">
        <f>[1]!SP1435AcademicContests</f>
        <v>0</v>
      </c>
      <c r="E29" s="111"/>
      <c r="F29" s="27">
        <v>24</v>
      </c>
      <c r="H29" s="206" t="s">
        <v>502</v>
      </c>
      <c r="I29" s="197"/>
      <c r="J29" s="197"/>
      <c r="K29" s="197"/>
      <c r="L29" s="197"/>
      <c r="M29" s="197"/>
      <c r="P29" s="85"/>
      <c r="Q29" s="85"/>
      <c r="R29" s="85"/>
      <c r="S29" s="85"/>
      <c r="T29" s="85"/>
      <c r="U29" s="85"/>
      <c r="V29" s="85"/>
      <c r="W29" s="85"/>
      <c r="X29" s="85"/>
    </row>
    <row r="30" spans="1:24" ht="12" customHeight="1">
      <c r="A30" s="116">
        <v>25</v>
      </c>
      <c r="B30" s="117" t="s">
        <v>438</v>
      </c>
      <c r="C30" s="117"/>
      <c r="D30" s="111">
        <f>[1]!SP1450GiftedEd</f>
        <v>0</v>
      </c>
      <c r="E30" s="111"/>
      <c r="F30" s="27">
        <v>25</v>
      </c>
      <c r="H30" s="206" t="s">
        <v>503</v>
      </c>
      <c r="I30" s="197"/>
      <c r="J30" s="197"/>
      <c r="K30" s="197"/>
      <c r="L30" s="197"/>
      <c r="M30" s="197"/>
      <c r="O30" s="88"/>
      <c r="P30" s="85"/>
      <c r="Q30" s="85"/>
      <c r="R30" s="85"/>
      <c r="S30" s="85"/>
      <c r="T30" s="85"/>
      <c r="U30" s="85"/>
      <c r="V30" s="85"/>
      <c r="W30" s="85"/>
      <c r="X30" s="85"/>
    </row>
    <row r="31" spans="1:24" ht="12" customHeight="1">
      <c r="A31" s="116">
        <v>26</v>
      </c>
      <c r="B31" s="210" t="s">
        <v>4</v>
      </c>
      <c r="C31" s="210"/>
      <c r="D31" s="111">
        <f>'[1]Page 2'!$E$31</f>
        <v>0</v>
      </c>
      <c r="E31" s="111"/>
      <c r="F31" s="27">
        <v>26</v>
      </c>
      <c r="H31" s="118" t="s">
        <v>500</v>
      </c>
      <c r="K31" s="29"/>
      <c r="M31" s="237"/>
      <c r="O31" s="88"/>
      <c r="P31" s="85"/>
      <c r="Q31" s="85"/>
      <c r="R31" s="85"/>
      <c r="S31" s="85"/>
      <c r="T31" s="85"/>
      <c r="U31" s="85"/>
      <c r="V31" s="85"/>
      <c r="W31" s="85"/>
      <c r="X31" s="85"/>
    </row>
    <row r="32" spans="1:24" ht="12" customHeight="1">
      <c r="A32" s="116">
        <v>27</v>
      </c>
      <c r="B32" s="210" t="s">
        <v>5</v>
      </c>
      <c r="C32" s="210"/>
      <c r="D32" s="111">
        <f>'[1]Page 2'!$E$32</f>
        <v>0</v>
      </c>
      <c r="E32" s="111"/>
      <c r="F32" s="27">
        <v>27</v>
      </c>
      <c r="H32" s="118" t="s">
        <v>501</v>
      </c>
      <c r="M32" s="237"/>
      <c r="N32" s="23"/>
      <c r="O32" s="88"/>
      <c r="P32" s="85"/>
      <c r="Q32" s="85"/>
      <c r="R32" s="85"/>
      <c r="S32" s="85"/>
      <c r="T32" s="85"/>
      <c r="U32" s="85"/>
      <c r="V32" s="85"/>
      <c r="W32" s="85"/>
      <c r="X32" s="85"/>
    </row>
    <row r="33" spans="1:24" ht="12" customHeight="1">
      <c r="A33" s="116">
        <v>28</v>
      </c>
      <c r="B33" s="117" t="s">
        <v>337</v>
      </c>
      <c r="C33" s="117"/>
      <c r="D33" s="111">
        <f>[1]!SP1460EnvironmentalSpecialPlate</f>
        <v>0</v>
      </c>
      <c r="E33" s="111"/>
      <c r="F33" s="27">
        <v>28</v>
      </c>
      <c r="H33" s="118"/>
      <c r="K33" s="29"/>
      <c r="P33" s="85"/>
      <c r="Q33" s="85"/>
      <c r="R33" s="85"/>
      <c r="S33" s="85"/>
      <c r="T33" s="85"/>
      <c r="U33" s="85"/>
      <c r="V33" s="85"/>
      <c r="W33" s="85"/>
      <c r="X33" s="85"/>
    </row>
    <row r="34" spans="1:24" ht="12" customHeight="1">
      <c r="A34" s="116">
        <v>29</v>
      </c>
      <c r="B34" s="117" t="s">
        <v>356</v>
      </c>
      <c r="C34" s="117"/>
      <c r="D34" s="111">
        <f>[1]!SP1465CharterSchool</f>
        <v>0</v>
      </c>
      <c r="E34" s="111"/>
      <c r="F34" s="27">
        <v>29</v>
      </c>
      <c r="H34" s="118"/>
      <c r="N34" s="110"/>
      <c r="P34" s="85"/>
      <c r="Q34" s="85"/>
      <c r="R34" s="85"/>
      <c r="S34" s="85"/>
      <c r="T34" s="85"/>
      <c r="U34" s="85"/>
      <c r="V34" s="85"/>
      <c r="W34" s="85"/>
      <c r="X34" s="85"/>
    </row>
    <row r="35" spans="1:24" ht="12" customHeight="1" thickBot="1">
      <c r="A35" s="116">
        <v>30</v>
      </c>
      <c r="B35" t="s">
        <v>357</v>
      </c>
      <c r="D35" s="111">
        <f>[1]!SP14701499Other</f>
        <v>0</v>
      </c>
      <c r="E35" s="111"/>
      <c r="F35" s="27">
        <v>30</v>
      </c>
      <c r="H35" s="242"/>
      <c r="I35" s="243"/>
      <c r="J35" s="242"/>
      <c r="K35" s="243"/>
      <c r="L35" s="242"/>
      <c r="M35" s="243"/>
      <c r="N35" s="244"/>
      <c r="P35" s="85"/>
      <c r="Q35" s="85"/>
      <c r="R35" s="85"/>
      <c r="S35" s="85"/>
      <c r="T35" s="85"/>
      <c r="U35" s="85"/>
      <c r="V35" s="85"/>
      <c r="W35" s="85"/>
      <c r="X35" s="85"/>
    </row>
    <row r="36" spans="1:24" ht="12" customHeight="1" thickBot="1">
      <c r="A36" s="116">
        <v>31</v>
      </c>
      <c r="B36" s="118" t="s">
        <v>8</v>
      </c>
      <c r="C36" s="117"/>
      <c r="D36" s="114">
        <f>SUM(D24:D35)</f>
        <v>0</v>
      </c>
      <c r="E36" s="114">
        <f>SUM(E23:E35)</f>
        <v>0</v>
      </c>
      <c r="F36" s="27">
        <v>31</v>
      </c>
      <c r="G36" s="116"/>
      <c r="H36" s="223"/>
      <c r="I36" s="223"/>
      <c r="J36" s="223"/>
      <c r="K36" s="223"/>
      <c r="L36" s="223"/>
      <c r="M36" s="223"/>
      <c r="N36" s="110"/>
      <c r="O36" s="116"/>
      <c r="P36" s="85"/>
      <c r="Q36" s="85"/>
      <c r="R36" s="85"/>
      <c r="S36" s="85"/>
      <c r="T36" s="85"/>
      <c r="U36" s="85"/>
      <c r="V36" s="85"/>
      <c r="W36" s="85"/>
      <c r="X36" s="85"/>
    </row>
    <row r="37" spans="1:24" ht="12" customHeight="1" thickBot="1" thickTop="1">
      <c r="A37" s="211">
        <v>32</v>
      </c>
      <c r="B37" s="118" t="s">
        <v>9</v>
      </c>
      <c r="C37" s="117"/>
      <c r="D37" s="115">
        <f>D22+D36</f>
        <v>73077</v>
      </c>
      <c r="E37" s="115">
        <f>E22+E36</f>
        <v>115648</v>
      </c>
      <c r="F37" s="27">
        <v>32</v>
      </c>
      <c r="G37" s="116"/>
      <c r="H37" s="223"/>
      <c r="I37" s="223"/>
      <c r="J37" s="223"/>
      <c r="K37" s="223"/>
      <c r="L37" s="223"/>
      <c r="M37" s="223"/>
      <c r="N37" s="110"/>
      <c r="O37" s="116"/>
      <c r="P37" s="85"/>
      <c r="Q37" s="85"/>
      <c r="R37" s="85"/>
      <c r="S37" s="85"/>
      <c r="T37" s="85"/>
      <c r="U37" s="85"/>
      <c r="V37" s="85"/>
      <c r="W37" s="85"/>
      <c r="X37" s="85"/>
    </row>
    <row r="38" spans="1:24" ht="12" customHeight="1" thickTop="1">
      <c r="A38" s="87"/>
      <c r="F38" s="27"/>
      <c r="G38" s="116"/>
      <c r="H38" s="223"/>
      <c r="I38" s="223"/>
      <c r="J38" s="117"/>
      <c r="K38" s="123"/>
      <c r="L38" s="223"/>
      <c r="M38" s="223"/>
      <c r="N38" s="110"/>
      <c r="O38" s="116"/>
      <c r="P38" s="85"/>
      <c r="Q38" s="85"/>
      <c r="R38" s="85"/>
      <c r="S38" s="85"/>
      <c r="T38" s="85"/>
      <c r="U38" s="85"/>
      <c r="V38" s="85"/>
      <c r="W38" s="85"/>
      <c r="X38" s="85"/>
    </row>
    <row r="39" spans="2:24" ht="13.5" customHeight="1">
      <c r="B39" s="212" t="s">
        <v>345</v>
      </c>
      <c r="C39" s="205"/>
      <c r="D39" s="106" t="s">
        <v>528</v>
      </c>
      <c r="E39" s="106" t="s">
        <v>340</v>
      </c>
      <c r="F39" s="27"/>
      <c r="G39" s="116"/>
      <c r="H39" s="223"/>
      <c r="I39" s="223"/>
      <c r="J39" s="117"/>
      <c r="K39" s="123"/>
      <c r="L39" s="223"/>
      <c r="M39" s="223"/>
      <c r="N39" s="110"/>
      <c r="O39" s="116"/>
      <c r="P39" s="85"/>
      <c r="Q39" s="85"/>
      <c r="R39" s="85"/>
      <c r="S39" s="85"/>
      <c r="T39" s="85"/>
      <c r="U39" s="85"/>
      <c r="V39" s="85"/>
      <c r="W39" s="85"/>
      <c r="X39" s="85"/>
    </row>
    <row r="40" spans="1:24" ht="12.75">
      <c r="A40" s="120">
        <v>1</v>
      </c>
      <c r="B40" s="117" t="s">
        <v>455</v>
      </c>
      <c r="D40" s="22">
        <f>[1]!CA0191Land</f>
        <v>0</v>
      </c>
      <c r="E40" s="23"/>
      <c r="F40" s="27">
        <v>1</v>
      </c>
      <c r="G40" s="116"/>
      <c r="N40" s="110"/>
      <c r="O40" s="116"/>
      <c r="P40" s="85"/>
      <c r="Q40" s="85"/>
      <c r="R40" s="85"/>
      <c r="S40" s="85"/>
      <c r="T40" s="85"/>
      <c r="U40" s="85"/>
      <c r="V40" s="85"/>
      <c r="W40" s="85"/>
      <c r="X40" s="85"/>
    </row>
    <row r="41" spans="1:24" ht="12" customHeight="1">
      <c r="A41" s="120">
        <v>2</v>
      </c>
      <c r="B41" s="117" t="s">
        <v>439</v>
      </c>
      <c r="D41" s="22">
        <f>[1]!CA0192SiteImprovements</f>
        <v>0</v>
      </c>
      <c r="E41" s="22"/>
      <c r="F41" s="27">
        <v>2</v>
      </c>
      <c r="G41" s="116"/>
      <c r="H41" s="223"/>
      <c r="I41" s="223"/>
      <c r="J41" s="117"/>
      <c r="K41" s="123"/>
      <c r="L41" s="223"/>
      <c r="M41" s="223"/>
      <c r="N41" s="110"/>
      <c r="O41" s="116"/>
      <c r="P41" s="85"/>
      <c r="Q41" s="85"/>
      <c r="R41" s="85"/>
      <c r="S41" s="85"/>
      <c r="T41" s="85"/>
      <c r="U41" s="85"/>
      <c r="V41" s="85"/>
      <c r="W41" s="85"/>
      <c r="X41" s="85"/>
    </row>
    <row r="42" spans="1:16" ht="12" customHeight="1">
      <c r="A42" s="120">
        <v>3</v>
      </c>
      <c r="B42" s="117" t="s">
        <v>440</v>
      </c>
      <c r="D42" s="22">
        <f>[1]!CA0194Buildings</f>
        <v>0</v>
      </c>
      <c r="E42" s="22"/>
      <c r="F42" s="27">
        <v>3</v>
      </c>
      <c r="G42" s="238"/>
      <c r="H42" s="223"/>
      <c r="I42" s="223"/>
      <c r="J42" s="117"/>
      <c r="K42" s="123"/>
      <c r="L42" s="223"/>
      <c r="M42" s="223"/>
      <c r="N42" s="110"/>
      <c r="O42" s="238"/>
      <c r="P42" s="85"/>
    </row>
    <row r="43" spans="1:15" ht="12" customHeight="1">
      <c r="A43" s="120">
        <v>4</v>
      </c>
      <c r="B43" s="117" t="s">
        <v>441</v>
      </c>
      <c r="D43" s="22">
        <v>6000</v>
      </c>
      <c r="E43" s="22"/>
      <c r="F43" s="27">
        <v>4</v>
      </c>
      <c r="G43" s="238"/>
      <c r="H43" s="223"/>
      <c r="I43" s="223"/>
      <c r="J43" s="117"/>
      <c r="K43" s="123"/>
      <c r="L43" s="223"/>
      <c r="M43" s="223"/>
      <c r="N43" s="110"/>
      <c r="O43" s="238"/>
    </row>
    <row r="44" spans="1:15" ht="12" customHeight="1" thickBot="1">
      <c r="A44" s="120">
        <v>5</v>
      </c>
      <c r="B44" s="117" t="s">
        <v>442</v>
      </c>
      <c r="D44" s="91">
        <f>[1]!CA0198CIP</f>
        <v>0</v>
      </c>
      <c r="E44" s="91"/>
      <c r="F44" s="27">
        <v>5</v>
      </c>
      <c r="G44" s="238"/>
      <c r="H44" s="85"/>
      <c r="N44" s="123"/>
      <c r="O44" s="238"/>
    </row>
    <row r="45" spans="1:14" ht="12" customHeight="1" thickBot="1">
      <c r="A45" s="211">
        <v>6</v>
      </c>
      <c r="B45" s="117" t="s">
        <v>443</v>
      </c>
      <c r="D45" s="115">
        <f>SUM(D40:D44)</f>
        <v>6000</v>
      </c>
      <c r="E45" s="115">
        <f>SUM(E40:E44)</f>
        <v>0</v>
      </c>
      <c r="F45" s="27">
        <v>6</v>
      </c>
      <c r="H45" s="85"/>
      <c r="N45" s="110"/>
    </row>
    <row r="46" ht="6" customHeight="1" thickTop="1"/>
    <row r="47" spans="1:14" ht="27" customHeight="1">
      <c r="A47" s="180">
        <v>7</v>
      </c>
      <c r="B47" s="584" t="s">
        <v>499</v>
      </c>
      <c r="C47" s="585"/>
      <c r="D47" s="23">
        <f>[1]!CAK3Reading</f>
        <v>0</v>
      </c>
      <c r="E47" s="23">
        <v>0</v>
      </c>
      <c r="F47" s="27">
        <v>7</v>
      </c>
      <c r="N47" s="110"/>
    </row>
    <row r="48" ht="12" customHeight="1"/>
    <row r="51" ht="12.75" customHeight="1">
      <c r="I51" s="13"/>
    </row>
  </sheetData>
  <sheetProtection/>
  <mergeCells count="8">
    <mergeCell ref="Q3:Q4"/>
    <mergeCell ref="R3:R4"/>
    <mergeCell ref="C1:F1"/>
    <mergeCell ref="I1:K1"/>
    <mergeCell ref="B47:C47"/>
    <mergeCell ref="A3:C3"/>
    <mergeCell ref="M16:M17"/>
    <mergeCell ref="N16:N17"/>
  </mergeCells>
  <dataValidations count="1">
    <dataValidation type="whole" operator="lessThanOrEqual" allowBlank="1" showInputMessage="1" showErrorMessage="1" error="The employer share of retirement system expense for the teacher salary increases may not exceed the ASRS contribution rate of 11.5%." sqref="N41">
      <formula1>N40*0.115</formula1>
    </dataValidation>
  </dataValidations>
  <hyperlinks>
    <hyperlink ref="L24:O24" location="Pg2ExpensesByType" display="SELECTED EXPENSES BY TYPE"/>
    <hyperlink ref="H3:N3" location="Pg2SpecialEd" display="SPECIAL EDUCATION PROGRAMS BY TYPE"/>
    <hyperlink ref="B39:C39" location="CapitalAcquisitions" display="CAPITAL ACQUISITIONS"/>
    <hyperlink ref="A3:E3" location="TotalFederalAndStateProjects" display="FEDERAL AND STATE PROJECTS"/>
    <hyperlink ref="H12" r:id="rId1" display="TOTAL (lines 14 and 21) (1)"/>
    <hyperlink ref="H14:K14" r:id="rId2" display="INSTRUCTIONAL IMPROVEMENT PROJECT"/>
    <hyperlink ref="H14:L14" location="Pg2InstructionalImprovementProj" display="INSTRUCTIONAL IMPROVEMENT PROJECT"/>
    <hyperlink ref="H20:K20" location="Pg2Lines3and4" display="Dropout Prevention Programs"/>
    <hyperlink ref="H21:K21" location="Pg2Lines3and4" display="Instructional Improvement Programs"/>
    <hyperlink ref="H12:J12" location="Pg2Line8" display="TOTAL (lines 15 and 22)"/>
    <hyperlink ref="H5:J5" location="Pg2Line1" display="Total All Categories"/>
    <hyperlink ref="H29:M30" location="Pg2StateEqualAssist" display="STATE EQUALIZATION ASSISTANCE BUDGETED"/>
    <hyperlink ref="B31:C31" location="CollegeCreditExamIncentives" display="1456 College Credit Exam Incentives"/>
    <hyperlink ref="B32:C32" location="ResultsBasedFunding" display="1457 Results-based Funding"/>
  </hyperlinks>
  <printOptions horizontalCentered="1" verticalCentered="1"/>
  <pageMargins left="0.75" right="0.5" top="0.25" bottom="0.25" header="0" footer="0"/>
  <pageSetup fitToHeight="1" fitToWidth="1" horizontalDpi="600" verticalDpi="600" orientation="landscape" scale="75" r:id="rId4"/>
  <headerFooter>
    <oddFooter>&amp;L&amp;"Arial,Bold"Rev. 5/19 Arizona Department of Education and Auditor General&amp;R&amp;"Arial,Bold"Page 2 of 4</oddFooter>
  </headerFooter>
  <drawing r:id="rId3"/>
</worksheet>
</file>

<file path=xl/worksheets/sheet5.xml><?xml version="1.0" encoding="utf-8"?>
<worksheet xmlns="http://schemas.openxmlformats.org/spreadsheetml/2006/main" xmlns:r="http://schemas.openxmlformats.org/officeDocument/2006/relationships">
  <sheetPr codeName="Sheet5">
    <pageSetUpPr fitToPage="1"/>
  </sheetPr>
  <dimension ref="A1:O59"/>
  <sheetViews>
    <sheetView showGridLines="0" zoomScale="80" zoomScaleNormal="80" workbookViewId="0" topLeftCell="A1">
      <selection activeCell="G10" sqref="G10"/>
    </sheetView>
  </sheetViews>
  <sheetFormatPr defaultColWidth="9.140625" defaultRowHeight="12.75" customHeight="1"/>
  <cols>
    <col min="1" max="1" width="1.57421875" style="12" customWidth="1"/>
    <col min="2" max="2" width="1.7109375" style="12" customWidth="1"/>
    <col min="3" max="3" width="14.7109375" style="12" customWidth="1"/>
    <col min="4" max="4" width="52.421875" style="12" customWidth="1"/>
    <col min="5" max="5" width="3.7109375" style="12" customWidth="1"/>
    <col min="6" max="12" width="15.421875" style="12" customWidth="1"/>
    <col min="13" max="13" width="3.7109375" style="12" customWidth="1"/>
    <col min="14" max="15" width="13.7109375" style="12" customWidth="1"/>
    <col min="16" max="16" width="3.8515625" style="12" customWidth="1"/>
    <col min="17" max="16384" width="9.140625" style="12" customWidth="1"/>
  </cols>
  <sheetData>
    <row r="1" spans="1:13" ht="12.75" customHeight="1">
      <c r="A1" s="12" t="s">
        <v>285</v>
      </c>
      <c r="D1" s="47" t="str">
        <f>Cover!D1</f>
        <v>NORTH STAR CHARTER SCHOOL, INC.</v>
      </c>
      <c r="E1" s="13"/>
      <c r="F1" s="39" t="s">
        <v>338</v>
      </c>
      <c r="G1" s="31" t="str">
        <f>Cover!M1</f>
        <v>MARICOPA</v>
      </c>
      <c r="H1" s="77"/>
      <c r="I1" s="77"/>
      <c r="J1" s="77"/>
      <c r="K1" s="39" t="s">
        <v>374</v>
      </c>
      <c r="L1" s="200" t="str">
        <f>Cover!R1</f>
        <v>078945000</v>
      </c>
      <c r="M1" s="77"/>
    </row>
    <row r="2" spans="1:11" ht="3" customHeight="1">
      <c r="A2" s="48"/>
      <c r="B2" s="48"/>
      <c r="C2" s="48"/>
      <c r="D2" s="48"/>
      <c r="E2" s="48"/>
      <c r="F2" s="48"/>
      <c r="G2" s="48"/>
      <c r="H2" s="48"/>
      <c r="I2" s="48"/>
      <c r="J2" s="48"/>
      <c r="K2" s="48"/>
    </row>
    <row r="3" spans="1:11" ht="10.5" customHeight="1">
      <c r="A3" s="48"/>
      <c r="B3" s="48"/>
      <c r="C3" s="48"/>
      <c r="D3" s="48"/>
      <c r="E3" s="48"/>
      <c r="F3" s="48"/>
      <c r="G3" s="48"/>
      <c r="H3" s="48"/>
      <c r="I3" s="48"/>
      <c r="J3" s="48"/>
      <c r="K3" s="48"/>
    </row>
    <row r="4" spans="1:12" ht="10.5" customHeight="1">
      <c r="A4" s="78"/>
      <c r="B4" s="79"/>
      <c r="C4" s="79"/>
      <c r="D4" s="589"/>
      <c r="E4" s="53"/>
      <c r="F4" s="80"/>
      <c r="G4" s="73" t="s">
        <v>379</v>
      </c>
      <c r="H4" s="125" t="s">
        <v>299</v>
      </c>
      <c r="I4" s="55"/>
      <c r="J4" s="587" t="s">
        <v>346</v>
      </c>
      <c r="K4" s="588"/>
      <c r="L4" s="55" t="s">
        <v>348</v>
      </c>
    </row>
    <row r="5" spans="1:12" ht="10.5" customHeight="1">
      <c r="A5" s="4" t="s">
        <v>377</v>
      </c>
      <c r="D5" s="579"/>
      <c r="E5" s="58"/>
      <c r="F5" s="61" t="s">
        <v>300</v>
      </c>
      <c r="G5" s="74" t="s">
        <v>301</v>
      </c>
      <c r="H5" s="124" t="s">
        <v>302</v>
      </c>
      <c r="I5" s="61" t="s">
        <v>303</v>
      </c>
      <c r="J5" s="216" t="s">
        <v>528</v>
      </c>
      <c r="K5" s="216" t="s">
        <v>340</v>
      </c>
      <c r="L5" s="61" t="s">
        <v>349</v>
      </c>
    </row>
    <row r="6" spans="1:12" ht="10.5" customHeight="1">
      <c r="A6" s="71"/>
      <c r="B6" s="26"/>
      <c r="C6" s="26"/>
      <c r="D6" s="26"/>
      <c r="E6" s="75"/>
      <c r="F6" s="64">
        <v>6100</v>
      </c>
      <c r="G6" s="76">
        <v>6200</v>
      </c>
      <c r="H6" s="124" t="s">
        <v>536</v>
      </c>
      <c r="I6" s="61">
        <v>6600</v>
      </c>
      <c r="J6" s="216">
        <v>2019</v>
      </c>
      <c r="K6" s="216">
        <v>2020</v>
      </c>
      <c r="L6" s="61" t="s">
        <v>350</v>
      </c>
    </row>
    <row r="7" spans="1:14" ht="10.5" customHeight="1">
      <c r="A7" s="207" t="s">
        <v>376</v>
      </c>
      <c r="B7" s="196"/>
      <c r="C7" s="196"/>
      <c r="D7" s="196"/>
      <c r="F7" s="97"/>
      <c r="G7" s="99"/>
      <c r="H7" s="230"/>
      <c r="I7" s="230"/>
      <c r="J7" s="514"/>
      <c r="K7" s="99"/>
      <c r="L7" s="54"/>
      <c r="M7" s="14"/>
      <c r="N7" s="81"/>
    </row>
    <row r="8" spans="1:14" ht="10.5" customHeight="1">
      <c r="A8" s="65"/>
      <c r="B8" s="12" t="s">
        <v>306</v>
      </c>
      <c r="E8" s="3"/>
      <c r="F8" s="127"/>
      <c r="G8" s="133"/>
      <c r="H8" s="222"/>
      <c r="I8" s="222"/>
      <c r="J8" s="515"/>
      <c r="K8" s="133"/>
      <c r="L8" s="126"/>
      <c r="M8" s="14"/>
      <c r="N8" s="81"/>
    </row>
    <row r="9" spans="1:14" ht="10.5" customHeight="1">
      <c r="A9" s="65"/>
      <c r="C9" s="12" t="s">
        <v>307</v>
      </c>
      <c r="D9" s="192"/>
      <c r="E9" s="3">
        <v>1</v>
      </c>
      <c r="F9" s="20">
        <v>74375</v>
      </c>
      <c r="G9" s="130">
        <v>10327</v>
      </c>
      <c r="H9" s="96"/>
      <c r="I9" s="96"/>
      <c r="J9" s="94">
        <v>43728</v>
      </c>
      <c r="K9" s="131">
        <f>SUM(F7:G9)</f>
        <v>84702</v>
      </c>
      <c r="L9" s="10">
        <f>IF(J9=0," ",(K9-J9)/J9)</f>
        <v>0.937</v>
      </c>
      <c r="M9" s="82" t="s">
        <v>328</v>
      </c>
      <c r="N9" s="81"/>
    </row>
    <row r="10" spans="1:14" ht="10.5" customHeight="1">
      <c r="A10" s="65"/>
      <c r="C10" s="12" t="s">
        <v>380</v>
      </c>
      <c r="E10" s="3">
        <v>2</v>
      </c>
      <c r="F10" s="20"/>
      <c r="G10" s="20"/>
      <c r="H10" s="96"/>
      <c r="I10" s="96"/>
      <c r="J10" s="20">
        <f>[1]!CSP1011P100F2100</f>
        <v>0</v>
      </c>
      <c r="K10" s="6">
        <f>SUM(F10:G10)</f>
        <v>0</v>
      </c>
      <c r="L10" s="10" t="str">
        <f>IF(J10=0," ",(K10-J10)/J10)</f>
        <v> </v>
      </c>
      <c r="M10" s="82" t="s">
        <v>329</v>
      </c>
      <c r="N10" s="81"/>
    </row>
    <row r="11" spans="1:14" ht="10.5" customHeight="1">
      <c r="A11" s="65"/>
      <c r="C11" s="12" t="s">
        <v>444</v>
      </c>
      <c r="E11" s="3">
        <v>3</v>
      </c>
      <c r="F11" s="20"/>
      <c r="G11" s="20"/>
      <c r="H11" s="96"/>
      <c r="I11" s="96"/>
      <c r="J11" s="20">
        <f>[1]!CSP1011P100F2200</f>
        <v>0</v>
      </c>
      <c r="K11" s="6">
        <f>SUM(F11:G11)</f>
        <v>0</v>
      </c>
      <c r="L11" s="10" t="str">
        <f>IF(J11=0," ",(K11-J11)/J11)</f>
        <v> </v>
      </c>
      <c r="M11" s="82" t="s">
        <v>390</v>
      </c>
      <c r="N11" s="81"/>
    </row>
    <row r="12" spans="1:13" ht="10.5" customHeight="1">
      <c r="A12" s="71"/>
      <c r="B12" s="26" t="s">
        <v>381</v>
      </c>
      <c r="C12" s="26"/>
      <c r="D12" s="26"/>
      <c r="E12" s="5">
        <v>4</v>
      </c>
      <c r="F12" s="6">
        <f>SUM(F7:F11)</f>
        <v>74375</v>
      </c>
      <c r="G12" s="6">
        <f>SUM(G7:G11)</f>
        <v>10327</v>
      </c>
      <c r="H12" s="231"/>
      <c r="I12" s="231"/>
      <c r="J12" s="127">
        <f>SUM(J8:J11)</f>
        <v>43728</v>
      </c>
      <c r="K12" s="127">
        <f>SUM(K8:K11)</f>
        <v>84702</v>
      </c>
      <c r="L12" s="126">
        <f>IF(J12=0," ",(K12-J12)/J12)</f>
        <v>0.937</v>
      </c>
      <c r="M12" s="83" t="s">
        <v>391</v>
      </c>
    </row>
    <row r="13" spans="1:14" ht="10.5" customHeight="1">
      <c r="A13" s="65"/>
      <c r="B13" s="12" t="s">
        <v>313</v>
      </c>
      <c r="E13" s="3"/>
      <c r="F13" s="97"/>
      <c r="G13" s="99"/>
      <c r="H13" s="230"/>
      <c r="I13" s="230"/>
      <c r="J13" s="514"/>
      <c r="K13" s="99"/>
      <c r="L13" s="54"/>
      <c r="M13" s="82"/>
      <c r="N13" s="81"/>
    </row>
    <row r="14" spans="1:14" ht="10.5" customHeight="1">
      <c r="A14" s="65"/>
      <c r="C14" s="12" t="s">
        <v>307</v>
      </c>
      <c r="E14" s="3">
        <v>5</v>
      </c>
      <c r="F14" s="20"/>
      <c r="G14" s="130"/>
      <c r="H14" s="96"/>
      <c r="I14" s="96"/>
      <c r="J14" s="94">
        <f>[1]!CSP1011P200F1000</f>
        <v>0</v>
      </c>
      <c r="K14" s="131">
        <f>SUM(F13:G14)</f>
        <v>0</v>
      </c>
      <c r="L14" s="10" t="str">
        <f>IF(J14=0," ",(K14-J14)/J14)</f>
        <v> </v>
      </c>
      <c r="M14" s="82" t="s">
        <v>392</v>
      </c>
      <c r="N14" s="81"/>
    </row>
    <row r="15" spans="1:14" ht="10.5" customHeight="1">
      <c r="A15" s="65"/>
      <c r="C15" s="12" t="s">
        <v>380</v>
      </c>
      <c r="E15" s="3">
        <v>6</v>
      </c>
      <c r="F15" s="21"/>
      <c r="G15" s="21"/>
      <c r="H15" s="96"/>
      <c r="I15" s="96"/>
      <c r="J15" s="20">
        <f>[1]!CSP1011P200F2100</f>
        <v>0</v>
      </c>
      <c r="K15" s="6">
        <f>SUM(F15:G15)</f>
        <v>0</v>
      </c>
      <c r="L15" s="10" t="str">
        <f>IF(J15=0," ",(K15-J15)/J15)</f>
        <v> </v>
      </c>
      <c r="M15" s="82" t="s">
        <v>393</v>
      </c>
      <c r="N15" s="81"/>
    </row>
    <row r="16" spans="1:14" ht="10.5" customHeight="1">
      <c r="A16" s="65"/>
      <c r="C16" s="12" t="s">
        <v>444</v>
      </c>
      <c r="E16" s="3">
        <v>7</v>
      </c>
      <c r="F16" s="21"/>
      <c r="G16" s="21"/>
      <c r="H16" s="96"/>
      <c r="I16" s="96"/>
      <c r="J16" s="21">
        <f>[1]!CSP1011P200F2200</f>
        <v>0</v>
      </c>
      <c r="K16" s="15">
        <f>SUM(F16:G16)</f>
        <v>0</v>
      </c>
      <c r="L16" s="10" t="str">
        <f>IF(J16=0," ",(K16-J16)/J16)</f>
        <v> </v>
      </c>
      <c r="M16" s="82" t="s">
        <v>394</v>
      </c>
      <c r="N16" s="81"/>
    </row>
    <row r="17" spans="1:14" ht="10.5" customHeight="1">
      <c r="A17" s="71"/>
      <c r="B17" s="26" t="s">
        <v>382</v>
      </c>
      <c r="C17" s="26"/>
      <c r="D17" s="26"/>
      <c r="E17" s="5">
        <v>8</v>
      </c>
      <c r="F17" s="15">
        <f>SUM(F13:F16)</f>
        <v>0</v>
      </c>
      <c r="G17" s="15">
        <f>SUM(G13:G16)</f>
        <v>0</v>
      </c>
      <c r="H17" s="222"/>
      <c r="I17" s="222"/>
      <c r="J17" s="97">
        <f>SUM(J14:J16)</f>
        <v>0</v>
      </c>
      <c r="K17" s="97">
        <f>SUM(K14:K16)</f>
        <v>0</v>
      </c>
      <c r="L17" s="126" t="str">
        <f>IF(J17=0," ",(K17-J17)/J17)</f>
        <v> </v>
      </c>
      <c r="M17" s="82" t="s">
        <v>395</v>
      </c>
      <c r="N17" s="81"/>
    </row>
    <row r="18" spans="1:13" ht="10.5" customHeight="1">
      <c r="A18" s="65"/>
      <c r="B18" s="84" t="s">
        <v>383</v>
      </c>
      <c r="E18" s="3"/>
      <c r="F18" s="97"/>
      <c r="G18" s="99"/>
      <c r="H18" s="230"/>
      <c r="I18" s="230"/>
      <c r="J18" s="514"/>
      <c r="K18" s="99"/>
      <c r="L18" s="54"/>
      <c r="M18" s="83"/>
    </row>
    <row r="19" spans="1:14" ht="10.5" customHeight="1">
      <c r="A19" s="65"/>
      <c r="C19" s="12" t="s">
        <v>307</v>
      </c>
      <c r="E19" s="3">
        <v>9</v>
      </c>
      <c r="F19" s="20"/>
      <c r="G19" s="130"/>
      <c r="H19" s="96"/>
      <c r="I19" s="96"/>
      <c r="J19" s="94">
        <f>[1]!CSP1011POtherF1000</f>
        <v>0</v>
      </c>
      <c r="K19" s="131">
        <f>SUM(F18:G19)</f>
        <v>0</v>
      </c>
      <c r="L19" s="10" t="str">
        <f>IF(J19=0," ",(K19-J19)/J19)</f>
        <v> </v>
      </c>
      <c r="M19" s="82" t="s">
        <v>396</v>
      </c>
      <c r="N19" s="81"/>
    </row>
    <row r="20" spans="1:14" ht="10.5" customHeight="1">
      <c r="A20" s="65"/>
      <c r="C20" s="12" t="s">
        <v>380</v>
      </c>
      <c r="E20" s="3">
        <v>10</v>
      </c>
      <c r="F20" s="21"/>
      <c r="G20" s="21"/>
      <c r="H20" s="96"/>
      <c r="I20" s="96"/>
      <c r="J20" s="20">
        <f>[1]!CSP1011POtherF2100</f>
        <v>0</v>
      </c>
      <c r="K20" s="6">
        <f>SUM(F20:G20)</f>
        <v>0</v>
      </c>
      <c r="L20" s="10" t="str">
        <f>IF(J20=0," ",(K20-J20)/J20)</f>
        <v> </v>
      </c>
      <c r="M20" s="82" t="s">
        <v>397</v>
      </c>
      <c r="N20" s="81"/>
    </row>
    <row r="21" spans="1:14" ht="10.5" customHeight="1">
      <c r="A21" s="65"/>
      <c r="C21" s="12" t="s">
        <v>444</v>
      </c>
      <c r="E21" s="3">
        <v>11</v>
      </c>
      <c r="F21" s="21"/>
      <c r="G21" s="21"/>
      <c r="H21" s="96"/>
      <c r="I21" s="96"/>
      <c r="J21" s="21">
        <f>[1]!CSP1011POtherF2200</f>
        <v>0</v>
      </c>
      <c r="K21" s="15">
        <f>SUM(F21:G21)</f>
        <v>0</v>
      </c>
      <c r="L21" s="10" t="str">
        <f>IF(J21=0," ",(K21-J21)/J21)</f>
        <v> </v>
      </c>
      <c r="M21" s="82" t="s">
        <v>398</v>
      </c>
      <c r="N21" s="81"/>
    </row>
    <row r="22" spans="1:14" ht="10.5" customHeight="1">
      <c r="A22" s="71"/>
      <c r="B22" s="26" t="s">
        <v>384</v>
      </c>
      <c r="C22" s="26"/>
      <c r="D22" s="26"/>
      <c r="E22" s="5">
        <v>12</v>
      </c>
      <c r="F22" s="15">
        <f>SUM(F18:F21)</f>
        <v>0</v>
      </c>
      <c r="G22" s="15">
        <f>SUM(G18:G21)</f>
        <v>0</v>
      </c>
      <c r="H22" s="96"/>
      <c r="I22" s="96"/>
      <c r="J22" s="15">
        <f>SUM(J19:J21)</f>
        <v>0</v>
      </c>
      <c r="K22" s="15">
        <f>SUM(K19:K21)</f>
        <v>0</v>
      </c>
      <c r="L22" s="10" t="str">
        <f>IF(J22=0," ",(K22-J22)/J22)</f>
        <v> </v>
      </c>
      <c r="M22" s="82" t="s">
        <v>399</v>
      </c>
      <c r="N22" s="81"/>
    </row>
    <row r="23" spans="1:14" ht="12.75" customHeight="1">
      <c r="A23" s="71" t="s">
        <v>385</v>
      </c>
      <c r="B23" s="26"/>
      <c r="C23" s="26"/>
      <c r="D23" s="26"/>
      <c r="E23" s="5">
        <v>13</v>
      </c>
      <c r="F23" s="15">
        <f>F12+F17+F22</f>
        <v>74375</v>
      </c>
      <c r="G23" s="15">
        <f>G12+G17+G22</f>
        <v>10327</v>
      </c>
      <c r="H23" s="222"/>
      <c r="I23" s="222"/>
      <c r="J23" s="15">
        <f>J12+J17+J22</f>
        <v>43728</v>
      </c>
      <c r="K23" s="15">
        <f>K12+K17+K22</f>
        <v>84702</v>
      </c>
      <c r="L23" s="10">
        <f>IF(J23=0," ",(K23-J23)/J23)</f>
        <v>0.937</v>
      </c>
      <c r="M23" s="82" t="s">
        <v>400</v>
      </c>
      <c r="N23" s="81"/>
    </row>
    <row r="24" spans="1:14" ht="10.5" customHeight="1">
      <c r="A24" s="207" t="s">
        <v>378</v>
      </c>
      <c r="B24" s="196"/>
      <c r="C24" s="196"/>
      <c r="D24" s="196"/>
      <c r="F24" s="127"/>
      <c r="G24" s="133"/>
      <c r="H24" s="232"/>
      <c r="I24" s="230"/>
      <c r="J24" s="514"/>
      <c r="K24" s="99"/>
      <c r="L24" s="54"/>
      <c r="M24" s="82"/>
      <c r="N24" s="81"/>
    </row>
    <row r="25" spans="1:14" ht="10.5" customHeight="1">
      <c r="A25" s="65"/>
      <c r="B25" s="12" t="s">
        <v>306</v>
      </c>
      <c r="E25" s="3"/>
      <c r="F25" s="127"/>
      <c r="G25" s="133"/>
      <c r="H25" s="233"/>
      <c r="I25" s="222"/>
      <c r="J25" s="515"/>
      <c r="K25" s="133"/>
      <c r="L25" s="126"/>
      <c r="M25" s="82"/>
      <c r="N25" s="81"/>
    </row>
    <row r="26" spans="1:14" ht="10.5" customHeight="1">
      <c r="A26" s="65"/>
      <c r="C26" s="12" t="s">
        <v>307</v>
      </c>
      <c r="E26" s="3">
        <v>14</v>
      </c>
      <c r="F26" s="20">
        <v>127287</v>
      </c>
      <c r="G26" s="130">
        <v>42117</v>
      </c>
      <c r="H26" s="234"/>
      <c r="I26" s="96"/>
      <c r="J26" s="94">
        <v>87456</v>
      </c>
      <c r="K26" s="131">
        <f>SUM(F24:G26)</f>
        <v>169404</v>
      </c>
      <c r="L26" s="10">
        <f>IF(J26=0," ",(K26-J26)/J26)</f>
        <v>0.937</v>
      </c>
      <c r="M26" s="82" t="s">
        <v>401</v>
      </c>
      <c r="N26" s="81"/>
    </row>
    <row r="27" spans="1:14" ht="10.5" customHeight="1">
      <c r="A27" s="65"/>
      <c r="C27" s="12" t="s">
        <v>380</v>
      </c>
      <c r="E27" s="3">
        <v>15</v>
      </c>
      <c r="F27" s="20"/>
      <c r="G27" s="20"/>
      <c r="H27" s="96"/>
      <c r="I27" s="96"/>
      <c r="J27" s="20">
        <f>[1]!CSP1012P100F2100</f>
        <v>0</v>
      </c>
      <c r="K27" s="6">
        <f>SUM(F27:G27)</f>
        <v>0</v>
      </c>
      <c r="L27" s="10" t="str">
        <f>IF(J27=0," ",(K27-J27)/J27)</f>
        <v> </v>
      </c>
      <c r="M27" s="82" t="s">
        <v>402</v>
      </c>
      <c r="N27" s="81"/>
    </row>
    <row r="28" spans="1:14" ht="10.5" customHeight="1">
      <c r="A28" s="65"/>
      <c r="C28" s="12" t="s">
        <v>444</v>
      </c>
      <c r="E28" s="3">
        <v>16</v>
      </c>
      <c r="F28" s="20"/>
      <c r="G28" s="20"/>
      <c r="H28" s="96"/>
      <c r="I28" s="96"/>
      <c r="J28" s="21">
        <f>[1]!CSP1012P100F2200</f>
        <v>0</v>
      </c>
      <c r="K28" s="15">
        <f>SUM(F28:G28)</f>
        <v>0</v>
      </c>
      <c r="L28" s="10" t="str">
        <f>IF(J28=0," ",(K28-J28)/J28)</f>
        <v> </v>
      </c>
      <c r="M28" s="82" t="s">
        <v>403</v>
      </c>
      <c r="N28" s="81"/>
    </row>
    <row r="29" spans="1:13" ht="10.5" customHeight="1">
      <c r="A29" s="71"/>
      <c r="B29" s="26" t="s">
        <v>386</v>
      </c>
      <c r="C29" s="26"/>
      <c r="D29" s="26"/>
      <c r="E29" s="5">
        <v>17</v>
      </c>
      <c r="F29" s="6">
        <f>SUM(F24:F28)</f>
        <v>127287</v>
      </c>
      <c r="G29" s="6">
        <f>SUM(G24:G28)</f>
        <v>42117</v>
      </c>
      <c r="H29" s="222"/>
      <c r="I29" s="222"/>
      <c r="J29" s="97">
        <f>SUM(J25:J28)</f>
        <v>87456</v>
      </c>
      <c r="K29" s="97">
        <f>SUM(K25:K28)</f>
        <v>169404</v>
      </c>
      <c r="L29" s="126">
        <f>IF(J29=0," ",(K29-J29)/J29)</f>
        <v>0.937</v>
      </c>
      <c r="M29" s="83" t="s">
        <v>404</v>
      </c>
    </row>
    <row r="30" spans="1:14" ht="10.5" customHeight="1">
      <c r="A30" s="65"/>
      <c r="B30" s="12" t="s">
        <v>313</v>
      </c>
      <c r="E30" s="3"/>
      <c r="F30" s="97"/>
      <c r="G30" s="99"/>
      <c r="H30" s="232"/>
      <c r="I30" s="230"/>
      <c r="J30" s="514"/>
      <c r="K30" s="99"/>
      <c r="L30" s="54"/>
      <c r="M30" s="82"/>
      <c r="N30" s="81"/>
    </row>
    <row r="31" spans="1:14" ht="10.5" customHeight="1">
      <c r="A31" s="65"/>
      <c r="C31" s="12" t="s">
        <v>307</v>
      </c>
      <c r="E31" s="3">
        <v>18</v>
      </c>
      <c r="F31" s="20"/>
      <c r="G31" s="130"/>
      <c r="H31" s="234"/>
      <c r="I31" s="96"/>
      <c r="J31" s="94">
        <f>[1]!CSP1012P200F1000</f>
        <v>0</v>
      </c>
      <c r="K31" s="131">
        <f>SUM(F30:G31)</f>
        <v>0</v>
      </c>
      <c r="L31" s="10" t="str">
        <f>IF(J31=0," ",(K31-J31)/J31)</f>
        <v> </v>
      </c>
      <c r="M31" s="82" t="s">
        <v>405</v>
      </c>
      <c r="N31" s="81"/>
    </row>
    <row r="32" spans="1:14" ht="10.5" customHeight="1">
      <c r="A32" s="65"/>
      <c r="C32" s="12" t="s">
        <v>380</v>
      </c>
      <c r="E32" s="3">
        <v>19</v>
      </c>
      <c r="F32" s="21"/>
      <c r="G32" s="21"/>
      <c r="H32" s="96"/>
      <c r="I32" s="96"/>
      <c r="J32" s="20">
        <f>[1]!CSP1012P200F2100</f>
        <v>0</v>
      </c>
      <c r="K32" s="6">
        <f>SUM(F32:G32)</f>
        <v>0</v>
      </c>
      <c r="L32" s="10" t="str">
        <f>IF(J32=0," ",(K32-J32)/J32)</f>
        <v> </v>
      </c>
      <c r="M32" s="82" t="s">
        <v>406</v>
      </c>
      <c r="N32" s="81"/>
    </row>
    <row r="33" spans="1:14" ht="10.5" customHeight="1">
      <c r="A33" s="65"/>
      <c r="C33" s="12" t="s">
        <v>444</v>
      </c>
      <c r="E33" s="3">
        <v>20</v>
      </c>
      <c r="F33" s="21"/>
      <c r="G33" s="21"/>
      <c r="H33" s="96"/>
      <c r="I33" s="96"/>
      <c r="J33" s="21">
        <f>[1]!CSP1012P200F2200</f>
        <v>0</v>
      </c>
      <c r="K33" s="15">
        <f>SUM(F33:G33)</f>
        <v>0</v>
      </c>
      <c r="L33" s="10" t="str">
        <f>IF(J33=0," ",(K33-J33)/J33)</f>
        <v> </v>
      </c>
      <c r="M33" s="82" t="s">
        <v>407</v>
      </c>
      <c r="N33" s="81"/>
    </row>
    <row r="34" spans="1:14" ht="10.5" customHeight="1">
      <c r="A34" s="71"/>
      <c r="B34" s="26" t="s">
        <v>387</v>
      </c>
      <c r="C34" s="26"/>
      <c r="D34" s="26"/>
      <c r="E34" s="5">
        <v>21</v>
      </c>
      <c r="F34" s="15">
        <f>SUM(F30:F33)</f>
        <v>0</v>
      </c>
      <c r="G34" s="15">
        <f>SUM(G30:G33)</f>
        <v>0</v>
      </c>
      <c r="H34" s="222"/>
      <c r="I34" s="222"/>
      <c r="J34" s="97">
        <f>SUM(J31:J33)</f>
        <v>0</v>
      </c>
      <c r="K34" s="97">
        <f>SUM(K31:K33)</f>
        <v>0</v>
      </c>
      <c r="L34" s="126" t="str">
        <f>IF(J34=0," ",(K34-J34)/J34)</f>
        <v> </v>
      </c>
      <c r="M34" s="82" t="s">
        <v>408</v>
      </c>
      <c r="N34" s="81"/>
    </row>
    <row r="35" spans="1:13" ht="10.5" customHeight="1">
      <c r="A35" s="65"/>
      <c r="B35" s="84" t="s">
        <v>383</v>
      </c>
      <c r="E35" s="3"/>
      <c r="F35" s="97"/>
      <c r="G35" s="99"/>
      <c r="H35" s="232"/>
      <c r="I35" s="230"/>
      <c r="J35" s="514"/>
      <c r="K35" s="99"/>
      <c r="L35" s="54"/>
      <c r="M35" s="83"/>
    </row>
    <row r="36" spans="1:14" ht="10.5" customHeight="1">
      <c r="A36" s="65"/>
      <c r="C36" s="12" t="s">
        <v>307</v>
      </c>
      <c r="E36" s="3">
        <v>22</v>
      </c>
      <c r="F36" s="20"/>
      <c r="G36" s="130"/>
      <c r="H36" s="234"/>
      <c r="I36" s="96"/>
      <c r="J36" s="94">
        <f>[1]!CSP1012POtherF1000</f>
        <v>0</v>
      </c>
      <c r="K36" s="131">
        <f>SUM(F35:G36)</f>
        <v>0</v>
      </c>
      <c r="L36" s="10" t="str">
        <f>IF(J36=0," ",(K36-J36)/J36)</f>
        <v> </v>
      </c>
      <c r="M36" s="82" t="s">
        <v>409</v>
      </c>
      <c r="N36" s="81"/>
    </row>
    <row r="37" spans="1:14" ht="10.5" customHeight="1">
      <c r="A37" s="65"/>
      <c r="C37" s="12" t="s">
        <v>380</v>
      </c>
      <c r="E37" s="3">
        <v>23</v>
      </c>
      <c r="F37" s="21"/>
      <c r="G37" s="21"/>
      <c r="H37" s="96"/>
      <c r="I37" s="96"/>
      <c r="J37" s="20">
        <f>[1]!CSP1012POtherF2100</f>
        <v>0</v>
      </c>
      <c r="K37" s="6">
        <f>SUM(F37:G37)</f>
        <v>0</v>
      </c>
      <c r="L37" s="10" t="str">
        <f>IF(J37=0," ",(K37-J37)/J37)</f>
        <v> </v>
      </c>
      <c r="M37" s="82" t="s">
        <v>410</v>
      </c>
      <c r="N37" s="81"/>
    </row>
    <row r="38" spans="1:14" ht="10.5" customHeight="1">
      <c r="A38" s="65"/>
      <c r="C38" s="12" t="s">
        <v>444</v>
      </c>
      <c r="E38" s="3">
        <v>24</v>
      </c>
      <c r="F38" s="21"/>
      <c r="G38" s="21"/>
      <c r="H38" s="96"/>
      <c r="I38" s="96"/>
      <c r="J38" s="21">
        <f>[1]!CSP1012POtherF2200</f>
        <v>0</v>
      </c>
      <c r="K38" s="15">
        <f>SUM(F38:G38)</f>
        <v>0</v>
      </c>
      <c r="L38" s="10" t="str">
        <f>IF(J38=0," ",(K38-J38)/J38)</f>
        <v> </v>
      </c>
      <c r="M38" s="82" t="s">
        <v>411</v>
      </c>
      <c r="N38" s="81"/>
    </row>
    <row r="39" spans="1:14" ht="10.5" customHeight="1">
      <c r="A39" s="71"/>
      <c r="B39" s="26" t="s">
        <v>388</v>
      </c>
      <c r="C39" s="26"/>
      <c r="D39" s="26"/>
      <c r="E39" s="5">
        <v>25</v>
      </c>
      <c r="F39" s="15">
        <f>SUM(F35:F38)</f>
        <v>0</v>
      </c>
      <c r="G39" s="15">
        <f>SUM(G35:G38)</f>
        <v>0</v>
      </c>
      <c r="H39" s="96"/>
      <c r="I39" s="96"/>
      <c r="J39" s="15">
        <f>SUM(J36:J38)</f>
        <v>0</v>
      </c>
      <c r="K39" s="15">
        <f>SUM(K36:K38)</f>
        <v>0</v>
      </c>
      <c r="L39" s="10" t="str">
        <f>IF(J39=0," ",(K39-J39)/J39)</f>
        <v> </v>
      </c>
      <c r="M39" s="82" t="s">
        <v>412</v>
      </c>
      <c r="N39" s="81"/>
    </row>
    <row r="40" spans="1:14" ht="12.75" customHeight="1">
      <c r="A40" s="71" t="s">
        <v>389</v>
      </c>
      <c r="B40" s="26"/>
      <c r="C40" s="26"/>
      <c r="D40" s="26"/>
      <c r="E40" s="5">
        <v>26</v>
      </c>
      <c r="F40" s="6">
        <f>F29+F34+F39</f>
        <v>127287</v>
      </c>
      <c r="G40" s="6">
        <f>G29+G34+G39</f>
        <v>42117</v>
      </c>
      <c r="H40" s="96"/>
      <c r="I40" s="96"/>
      <c r="J40" s="6">
        <f>J29+J34+J39</f>
        <v>87456</v>
      </c>
      <c r="K40" s="6">
        <f>K29+K34+K39</f>
        <v>169404</v>
      </c>
      <c r="L40" s="10">
        <f>IF(J40=0," ",(K40-J40)/J40)</f>
        <v>0.937</v>
      </c>
      <c r="M40" s="82" t="s">
        <v>413</v>
      </c>
      <c r="N40" s="81"/>
    </row>
    <row r="41" spans="1:15" ht="10.5" customHeight="1">
      <c r="A41" s="207" t="s">
        <v>375</v>
      </c>
      <c r="B41" s="196"/>
      <c r="C41" s="196"/>
      <c r="D41" s="196"/>
      <c r="E41" s="3"/>
      <c r="F41" s="97"/>
      <c r="G41" s="97"/>
      <c r="H41" s="97"/>
      <c r="I41" s="99"/>
      <c r="J41" s="97"/>
      <c r="K41" s="97"/>
      <c r="L41" s="54"/>
      <c r="M41" s="2"/>
      <c r="N41" s="7"/>
      <c r="O41" s="9"/>
    </row>
    <row r="42" spans="1:15" ht="10.5" customHeight="1">
      <c r="A42" s="65"/>
      <c r="B42" s="12" t="s">
        <v>306</v>
      </c>
      <c r="F42" s="127"/>
      <c r="G42" s="127"/>
      <c r="H42" s="127"/>
      <c r="I42" s="133"/>
      <c r="J42" s="127"/>
      <c r="K42" s="127"/>
      <c r="L42" s="126"/>
      <c r="N42" s="7"/>
      <c r="O42" s="9"/>
    </row>
    <row r="43" spans="1:14" ht="10.5" customHeight="1">
      <c r="A43" s="65"/>
      <c r="C43" s="12" t="s">
        <v>307</v>
      </c>
      <c r="E43" s="3">
        <v>27</v>
      </c>
      <c r="F43" s="20"/>
      <c r="G43" s="20"/>
      <c r="H43" s="20">
        <v>169404</v>
      </c>
      <c r="I43" s="130"/>
      <c r="J43" s="20">
        <v>87456</v>
      </c>
      <c r="K43" s="6">
        <f>SUM(F43:I43)</f>
        <v>169404</v>
      </c>
      <c r="L43" s="10">
        <f>IF(J43=0," ",(K43-J43)/J43)</f>
        <v>0.937</v>
      </c>
      <c r="M43" s="2">
        <v>27</v>
      </c>
      <c r="N43" s="2"/>
    </row>
    <row r="44" spans="1:13" ht="10.5" customHeight="1">
      <c r="A44" s="65"/>
      <c r="C44" s="12" t="s">
        <v>445</v>
      </c>
      <c r="E44" s="3">
        <v>28</v>
      </c>
      <c r="F44" s="108"/>
      <c r="G44" s="20"/>
      <c r="H44" s="20"/>
      <c r="I44" s="20"/>
      <c r="J44" s="21">
        <f>[1]!CSP1013P100F2100</f>
        <v>0</v>
      </c>
      <c r="K44" s="15">
        <f>SUM(F44:I44)</f>
        <v>0</v>
      </c>
      <c r="L44" s="100" t="str">
        <f>IF(J44=0," ",(K44-J44)/J44)</f>
        <v> </v>
      </c>
      <c r="M44" s="68">
        <v>28</v>
      </c>
    </row>
    <row r="45" spans="1:13" ht="10.5" customHeight="1">
      <c r="A45" s="65"/>
      <c r="C45" s="12" t="s">
        <v>444</v>
      </c>
      <c r="E45" s="3">
        <v>29</v>
      </c>
      <c r="F45" s="109"/>
      <c r="G45" s="20"/>
      <c r="H45" s="20"/>
      <c r="I45" s="20"/>
      <c r="J45" s="21">
        <f>[1]!CSP1013P100F2200</f>
        <v>0</v>
      </c>
      <c r="K45" s="15">
        <f>SUM(F45:I45)</f>
        <v>0</v>
      </c>
      <c r="L45" s="100" t="str">
        <f>IF(J45=0," ",(K45-J45)/J45)</f>
        <v> </v>
      </c>
      <c r="M45" s="68">
        <v>29</v>
      </c>
    </row>
    <row r="46" spans="1:13" ht="10.5" customHeight="1">
      <c r="A46" s="71"/>
      <c r="B46" s="104" t="s">
        <v>537</v>
      </c>
      <c r="C46" s="26"/>
      <c r="D46" s="26"/>
      <c r="E46" s="18">
        <v>30</v>
      </c>
      <c r="F46" s="24">
        <f>SUM(F41:F45)</f>
        <v>0</v>
      </c>
      <c r="G46" s="6">
        <f>SUM(G41:G45)</f>
        <v>0</v>
      </c>
      <c r="H46" s="6">
        <f>SUM(H41:H45)</f>
        <v>169404</v>
      </c>
      <c r="I46" s="6">
        <f>SUM(I41:I45)</f>
        <v>0</v>
      </c>
      <c r="J46" s="127">
        <f>SUM(J42:J45)</f>
        <v>87456</v>
      </c>
      <c r="K46" s="127">
        <f>SUM(F46:I46)</f>
        <v>169404</v>
      </c>
      <c r="L46" s="126">
        <f>IF(J46=0," ",(K46-J46)/J46)</f>
        <v>0.937</v>
      </c>
      <c r="M46" s="68">
        <v>30</v>
      </c>
    </row>
    <row r="47" spans="1:13" ht="10.5" customHeight="1">
      <c r="A47" s="1"/>
      <c r="B47" s="12" t="s">
        <v>313</v>
      </c>
      <c r="E47" s="3"/>
      <c r="F47" s="97"/>
      <c r="G47" s="97"/>
      <c r="H47" s="97"/>
      <c r="I47" s="99"/>
      <c r="J47" s="97"/>
      <c r="K47" s="97"/>
      <c r="L47" s="54"/>
      <c r="M47" s="2"/>
    </row>
    <row r="48" spans="1:13" ht="10.5" customHeight="1">
      <c r="A48" s="65"/>
      <c r="C48" s="12" t="s">
        <v>307</v>
      </c>
      <c r="E48" s="3">
        <v>31</v>
      </c>
      <c r="F48" s="20"/>
      <c r="G48" s="20"/>
      <c r="H48" s="20"/>
      <c r="I48" s="130"/>
      <c r="J48" s="20">
        <f>[1]!CSP1013P200F1000</f>
        <v>0</v>
      </c>
      <c r="K48" s="6">
        <f>SUM(F48:I48)</f>
        <v>0</v>
      </c>
      <c r="L48" s="10" t="str">
        <f>IF(J48=0," ",(K48-J48)/J48)</f>
        <v> </v>
      </c>
      <c r="M48" s="2">
        <v>31</v>
      </c>
    </row>
    <row r="49" spans="1:13" ht="10.5" customHeight="1">
      <c r="A49" s="65"/>
      <c r="C49" s="12" t="s">
        <v>445</v>
      </c>
      <c r="E49" s="16">
        <v>32</v>
      </c>
      <c r="F49" s="108"/>
      <c r="G49" s="20"/>
      <c r="H49" s="20"/>
      <c r="I49" s="20"/>
      <c r="J49" s="20">
        <f>[1]!CSP1013P200F2100</f>
        <v>0</v>
      </c>
      <c r="K49" s="97">
        <f>SUM(F49:I49)</f>
        <v>0</v>
      </c>
      <c r="L49" s="98" t="str">
        <f>IF(J49=0," ",(K49-J49)/J49)</f>
        <v> </v>
      </c>
      <c r="M49" s="68">
        <v>32</v>
      </c>
    </row>
    <row r="50" spans="1:13" ht="10.5" customHeight="1">
      <c r="A50" s="65"/>
      <c r="C50" s="12" t="s">
        <v>444</v>
      </c>
      <c r="E50" s="16">
        <v>33</v>
      </c>
      <c r="F50" s="109"/>
      <c r="G50" s="20"/>
      <c r="H50" s="20"/>
      <c r="I50" s="20"/>
      <c r="J50" s="21">
        <f>[1]!CSP1013P200F2200</f>
        <v>0</v>
      </c>
      <c r="K50" s="15">
        <f>SUM(F50:I50)</f>
        <v>0</v>
      </c>
      <c r="L50" s="100" t="str">
        <f aca="true" t="shared" si="0" ref="L50:L59">IF(J50=0," ",(K50-J50)/J50)</f>
        <v> </v>
      </c>
      <c r="M50" s="68">
        <v>33</v>
      </c>
    </row>
    <row r="51" spans="1:13" ht="10.5" customHeight="1">
      <c r="A51" s="71"/>
      <c r="B51" s="104" t="s">
        <v>538</v>
      </c>
      <c r="C51" s="26"/>
      <c r="D51" s="26"/>
      <c r="E51" s="18">
        <v>34</v>
      </c>
      <c r="F51" s="24">
        <f>SUM(F47:F50)</f>
        <v>0</v>
      </c>
      <c r="G51" s="6">
        <f>SUM(G47:G50)</f>
        <v>0</v>
      </c>
      <c r="H51" s="6">
        <f>SUM(H47:H50)</f>
        <v>0</v>
      </c>
      <c r="I51" s="6">
        <f>SUM(I47:I50)</f>
        <v>0</v>
      </c>
      <c r="J51" s="127">
        <f>SUM(J48:J50)</f>
        <v>0</v>
      </c>
      <c r="K51" s="127">
        <f>SUM(F51:I51)</f>
        <v>0</v>
      </c>
      <c r="L51" s="126" t="str">
        <f t="shared" si="0"/>
        <v> </v>
      </c>
      <c r="M51" s="68">
        <v>34</v>
      </c>
    </row>
    <row r="52" spans="1:13" ht="10.5" customHeight="1">
      <c r="A52" s="1"/>
      <c r="B52" s="50" t="s">
        <v>415</v>
      </c>
      <c r="C52" s="50"/>
      <c r="D52" s="50"/>
      <c r="E52" s="19"/>
      <c r="F52" s="97"/>
      <c r="G52" s="97"/>
      <c r="H52" s="97"/>
      <c r="I52" s="99"/>
      <c r="J52" s="97"/>
      <c r="K52" s="97"/>
      <c r="L52" s="54"/>
      <c r="M52" s="2"/>
    </row>
    <row r="53" spans="1:13" ht="10.5" customHeight="1">
      <c r="A53" s="71"/>
      <c r="B53" s="26"/>
      <c r="C53" s="26" t="s">
        <v>307</v>
      </c>
      <c r="D53" s="26"/>
      <c r="E53" s="18">
        <v>35</v>
      </c>
      <c r="F53" s="20"/>
      <c r="G53" s="20"/>
      <c r="H53" s="20"/>
      <c r="I53" s="130"/>
      <c r="J53" s="20">
        <f>[1]!CSP1013P530F1000</f>
        <v>0</v>
      </c>
      <c r="K53" s="6">
        <f>SUM(F53:I53)</f>
        <v>0</v>
      </c>
      <c r="L53" s="10" t="str">
        <f>IF(J53=0," ",(K53-J53)/J53)</f>
        <v> </v>
      </c>
      <c r="M53" s="2">
        <v>35</v>
      </c>
    </row>
    <row r="54" spans="1:13" ht="10.5" customHeight="1">
      <c r="A54" s="1"/>
      <c r="B54" s="95" t="s">
        <v>383</v>
      </c>
      <c r="E54" s="16"/>
      <c r="F54" s="97"/>
      <c r="G54" s="97"/>
      <c r="H54" s="97"/>
      <c r="I54" s="99"/>
      <c r="J54" s="97"/>
      <c r="K54" s="97"/>
      <c r="L54" s="54"/>
      <c r="M54" s="2"/>
    </row>
    <row r="55" spans="1:13" ht="10.5" customHeight="1">
      <c r="A55" s="65"/>
      <c r="C55" s="12" t="s">
        <v>307</v>
      </c>
      <c r="E55" s="3">
        <v>36</v>
      </c>
      <c r="F55" s="20"/>
      <c r="G55" s="20"/>
      <c r="H55" s="20"/>
      <c r="I55" s="130"/>
      <c r="J55" s="20">
        <f>[1]!CSP1013POtherF1000</f>
        <v>0</v>
      </c>
      <c r="K55" s="6">
        <f>SUM(F55:I55)</f>
        <v>0</v>
      </c>
      <c r="L55" s="10" t="str">
        <f>IF(J55=0," ",(K55-J55)/J55)</f>
        <v> </v>
      </c>
      <c r="M55" s="2">
        <v>36</v>
      </c>
    </row>
    <row r="56" spans="1:13" ht="10.5" customHeight="1">
      <c r="A56" s="65"/>
      <c r="C56" s="85" t="s">
        <v>463</v>
      </c>
      <c r="E56" s="3">
        <v>37</v>
      </c>
      <c r="F56" s="109"/>
      <c r="G56" s="20"/>
      <c r="H56" s="20"/>
      <c r="I56" s="20"/>
      <c r="J56" s="20">
        <f>[1]!CSP1013POtherF21002200</f>
        <v>0</v>
      </c>
      <c r="K56" s="6">
        <f>SUM(F56:I56)</f>
        <v>0</v>
      </c>
      <c r="L56" s="10" t="str">
        <f t="shared" si="0"/>
        <v> </v>
      </c>
      <c r="M56" s="68">
        <v>37</v>
      </c>
    </row>
    <row r="57" spans="1:13" ht="10.5" customHeight="1">
      <c r="A57" s="65"/>
      <c r="B57" s="85" t="s">
        <v>539</v>
      </c>
      <c r="C57" s="26"/>
      <c r="D57" s="26"/>
      <c r="E57" s="18">
        <v>38</v>
      </c>
      <c r="F57" s="24">
        <f>SUM(F54:F56)</f>
        <v>0</v>
      </c>
      <c r="G57" s="6">
        <f>SUM(G54:G56)</f>
        <v>0</v>
      </c>
      <c r="H57" s="6">
        <f>SUM(H54:H56)</f>
        <v>0</v>
      </c>
      <c r="I57" s="6">
        <f>SUM(I54:I56)</f>
        <v>0</v>
      </c>
      <c r="J57" s="6">
        <f>SUM(J55:J56)</f>
        <v>0</v>
      </c>
      <c r="K57" s="6">
        <f>SUM(F57:I57)</f>
        <v>0</v>
      </c>
      <c r="L57" s="10" t="str">
        <f t="shared" si="0"/>
        <v> </v>
      </c>
      <c r="M57" s="68">
        <v>38</v>
      </c>
    </row>
    <row r="58" spans="1:13" ht="12.75" customHeight="1">
      <c r="A58" s="105" t="s">
        <v>540</v>
      </c>
      <c r="B58" s="72"/>
      <c r="C58" s="26"/>
      <c r="D58" s="72"/>
      <c r="E58" s="17">
        <v>39</v>
      </c>
      <c r="F58" s="24">
        <f>F46+F51+F52+F53+F57</f>
        <v>0</v>
      </c>
      <c r="G58" s="6">
        <f>G46+G51+G52+G53+G57</f>
        <v>0</v>
      </c>
      <c r="H58" s="6">
        <f>H46+H51+H52+H53+H57</f>
        <v>169404</v>
      </c>
      <c r="I58" s="6">
        <f>I46+I51+I52+I53+I57</f>
        <v>0</v>
      </c>
      <c r="J58" s="6">
        <f>J46+J51+J53+J57</f>
        <v>87456</v>
      </c>
      <c r="K58" s="6">
        <f>K46+K51+K53+K57</f>
        <v>169404</v>
      </c>
      <c r="L58" s="10">
        <f t="shared" si="0"/>
        <v>0.937</v>
      </c>
      <c r="M58" s="68">
        <v>39</v>
      </c>
    </row>
    <row r="59" spans="1:13" ht="12.75">
      <c r="A59" s="105" t="s">
        <v>541</v>
      </c>
      <c r="B59" s="72"/>
      <c r="C59" s="72"/>
      <c r="D59" s="72"/>
      <c r="E59" s="17">
        <v>40</v>
      </c>
      <c r="F59" s="24">
        <f>F23+F40+F58</f>
        <v>201662</v>
      </c>
      <c r="G59" s="24">
        <f>G23+G40+G58</f>
        <v>52444</v>
      </c>
      <c r="H59" s="25">
        <f>H58</f>
        <v>169404</v>
      </c>
      <c r="I59" s="25">
        <f>I58</f>
        <v>0</v>
      </c>
      <c r="J59" s="25">
        <f>J23+J40+J58</f>
        <v>218640</v>
      </c>
      <c r="K59" s="24">
        <f>SUM(F59:I59)</f>
        <v>423510</v>
      </c>
      <c r="L59" s="10">
        <f t="shared" si="0"/>
        <v>0.937</v>
      </c>
      <c r="M59" s="68">
        <v>40</v>
      </c>
    </row>
    <row r="60" ht="6.75" customHeight="1"/>
    <row r="61" ht="7.5" customHeight="1"/>
    <row r="62" ht="6.75" customHeight="1"/>
    <row r="63" ht="9" customHeight="1"/>
  </sheetData>
  <sheetProtection sheet="1"/>
  <mergeCells count="2">
    <mergeCell ref="J4:K4"/>
    <mergeCell ref="D4:D5"/>
  </mergeCells>
  <hyperlinks>
    <hyperlink ref="A7:D7" location="Pg3ClassroomSiteProj" display="Classroom Site Project 1011 - Base Salary"/>
    <hyperlink ref="A24:D24" location="Pg3ClassroomSiteProj" display="Classroom Site Project 1012 - Performance Pay"/>
    <hyperlink ref="A41:D41" location="Pg3ClassroomSiteProj" display="Classroom Site Project 1013 - Other"/>
  </hyperlinks>
  <printOptions horizontalCentered="1" verticalCentered="1"/>
  <pageMargins left="0.75" right="0.5" top="0.25" bottom="0.25" header="0" footer="0"/>
  <pageSetup fitToHeight="1" fitToWidth="1" horizontalDpi="300" verticalDpi="300" orientation="landscape" scale="68" r:id="rId2"/>
  <headerFooter>
    <oddFooter>&amp;L&amp;"Arial,Bold"Rev. 5/19 Arizona Department of Education and Auditor General&amp;R&amp;"Arial,Bold"Page 3 of 4</oddFooter>
  </headerFooter>
  <ignoredErrors>
    <ignoredError sqref="J25 J8" unlockedFormula="1"/>
    <ignoredError sqref="F12:G12 K10:K11 K15:K16 K20:K21 K27:K28 K32:K33 K37:K38" formulaRange="1"/>
  </ignoredErrors>
  <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P43"/>
  <sheetViews>
    <sheetView showGridLines="0" zoomScale="80" zoomScaleNormal="80" workbookViewId="0" topLeftCell="A1">
      <selection activeCell="G9" sqref="G9"/>
    </sheetView>
  </sheetViews>
  <sheetFormatPr defaultColWidth="9.140625" defaultRowHeight="12.75"/>
  <cols>
    <col min="1" max="1" width="1.57421875" style="0" customWidth="1"/>
    <col min="2" max="2" width="1.7109375" style="0" customWidth="1"/>
    <col min="3" max="3" width="14.7109375" style="0" customWidth="1"/>
    <col min="4" max="4" width="26.8515625" style="0" customWidth="1"/>
    <col min="5" max="5" width="3.7109375" style="0" customWidth="1"/>
    <col min="6" max="7" width="7.140625" style="0" customWidth="1"/>
    <col min="8" max="14" width="12.57421875" style="0" customWidth="1"/>
    <col min="15" max="15" width="11.57421875" style="0" customWidth="1"/>
    <col min="16" max="16" width="3.7109375" style="0" customWidth="1"/>
    <col min="17" max="17" width="7.00390625" style="0" customWidth="1"/>
  </cols>
  <sheetData>
    <row r="1" spans="1:16" ht="12.75">
      <c r="A1" s="12" t="s">
        <v>285</v>
      </c>
      <c r="B1" s="12"/>
      <c r="C1" s="12"/>
      <c r="D1" s="590" t="str">
        <f>Cover!D1</f>
        <v>NORTH STAR CHARTER SCHOOL, INC.</v>
      </c>
      <c r="E1" s="590"/>
      <c r="F1" s="590"/>
      <c r="G1" s="13"/>
      <c r="H1" s="12"/>
      <c r="I1" s="39" t="s">
        <v>338</v>
      </c>
      <c r="J1" s="578" t="str">
        <f>Cover!M1</f>
        <v>MARICOPA</v>
      </c>
      <c r="K1" s="578"/>
      <c r="L1" s="12"/>
      <c r="M1" s="39" t="s">
        <v>374</v>
      </c>
      <c r="N1" s="578" t="str">
        <f>Cover!R1</f>
        <v>078945000</v>
      </c>
      <c r="O1" s="578"/>
      <c r="P1" s="12"/>
    </row>
    <row r="2" spans="1:16" ht="12.75">
      <c r="A2" s="48"/>
      <c r="B2" s="48"/>
      <c r="C2" s="193"/>
      <c r="D2" s="48"/>
      <c r="E2" s="48"/>
      <c r="F2" s="48"/>
      <c r="G2" s="48"/>
      <c r="H2" s="48"/>
      <c r="I2" s="48"/>
      <c r="J2" s="48"/>
      <c r="K2" s="12"/>
      <c r="L2" s="12"/>
      <c r="M2" s="12"/>
      <c r="N2" s="12"/>
      <c r="O2" s="12"/>
      <c r="P2" s="12"/>
    </row>
    <row r="3" spans="1:16" ht="12.75">
      <c r="A3" s="49"/>
      <c r="B3" s="50"/>
      <c r="C3" s="50"/>
      <c r="D3" s="589"/>
      <c r="E3" s="51"/>
      <c r="F3" s="52" t="s">
        <v>426</v>
      </c>
      <c r="G3" s="53"/>
      <c r="H3" s="54"/>
      <c r="I3" s="54"/>
      <c r="J3" s="55" t="s">
        <v>299</v>
      </c>
      <c r="K3" s="1"/>
      <c r="L3" s="1"/>
      <c r="M3" s="56" t="s">
        <v>346</v>
      </c>
      <c r="N3" s="57"/>
      <c r="O3" s="54"/>
      <c r="P3" s="12"/>
    </row>
    <row r="4" spans="1:16" ht="12.75">
      <c r="A4" s="4"/>
      <c r="B4" s="12"/>
      <c r="C4" s="12"/>
      <c r="D4" s="579"/>
      <c r="E4" s="58"/>
      <c r="F4" s="59" t="s">
        <v>424</v>
      </c>
      <c r="G4" s="60"/>
      <c r="H4" s="61"/>
      <c r="I4" s="61" t="s">
        <v>425</v>
      </c>
      <c r="J4" s="61" t="s">
        <v>302</v>
      </c>
      <c r="K4" s="62"/>
      <c r="L4" s="62"/>
      <c r="M4" s="62"/>
      <c r="N4" s="62"/>
      <c r="O4" s="61" t="s">
        <v>348</v>
      </c>
      <c r="P4" s="12"/>
    </row>
    <row r="5" spans="1:16" ht="12.75">
      <c r="A5" s="4" t="s">
        <v>377</v>
      </c>
      <c r="B5" s="12"/>
      <c r="C5" s="12"/>
      <c r="D5" s="12"/>
      <c r="E5" s="58"/>
      <c r="F5" s="217" t="s">
        <v>527</v>
      </c>
      <c r="G5" s="55" t="s">
        <v>347</v>
      </c>
      <c r="H5" s="61" t="s">
        <v>300</v>
      </c>
      <c r="I5" s="61" t="s">
        <v>301</v>
      </c>
      <c r="J5" s="61" t="s">
        <v>305</v>
      </c>
      <c r="K5" s="61" t="s">
        <v>303</v>
      </c>
      <c r="L5" s="61" t="s">
        <v>304</v>
      </c>
      <c r="M5" s="216" t="s">
        <v>528</v>
      </c>
      <c r="N5" s="216" t="s">
        <v>340</v>
      </c>
      <c r="O5" s="61" t="s">
        <v>349</v>
      </c>
      <c r="P5" s="12"/>
    </row>
    <row r="6" spans="1:16" ht="12.75">
      <c r="A6" s="63"/>
      <c r="B6" s="26"/>
      <c r="C6" s="26"/>
      <c r="D6" s="26"/>
      <c r="E6" s="18"/>
      <c r="F6" s="61" t="s">
        <v>339</v>
      </c>
      <c r="G6" s="64" t="s">
        <v>339</v>
      </c>
      <c r="H6" s="64">
        <v>6100</v>
      </c>
      <c r="I6" s="64">
        <v>6200</v>
      </c>
      <c r="J6" s="64">
        <v>6500</v>
      </c>
      <c r="K6" s="64">
        <v>6600</v>
      </c>
      <c r="L6" s="64">
        <v>6800</v>
      </c>
      <c r="M6" s="216">
        <v>2019</v>
      </c>
      <c r="N6" s="216">
        <v>2020</v>
      </c>
      <c r="O6" s="61" t="s">
        <v>350</v>
      </c>
      <c r="P6" s="12"/>
    </row>
    <row r="7" spans="1:16" ht="12.75">
      <c r="A7" s="208" t="s">
        <v>231</v>
      </c>
      <c r="B7" s="484"/>
      <c r="C7" s="484"/>
      <c r="D7" s="484"/>
      <c r="E7" s="485"/>
      <c r="F7" s="486"/>
      <c r="G7" s="139"/>
      <c r="H7" s="97"/>
      <c r="I7" s="97"/>
      <c r="J7" s="97"/>
      <c r="K7" s="97"/>
      <c r="L7" s="99"/>
      <c r="M7" s="138"/>
      <c r="N7" s="138"/>
      <c r="O7" s="138"/>
      <c r="P7" s="12"/>
    </row>
    <row r="8" spans="1:16" ht="12.75">
      <c r="A8" s="65"/>
      <c r="B8" s="12" t="s">
        <v>452</v>
      </c>
      <c r="C8" s="12"/>
      <c r="D8" s="12"/>
      <c r="E8" s="3"/>
      <c r="F8" s="140"/>
      <c r="G8" s="141"/>
      <c r="H8" s="127"/>
      <c r="I8" s="127"/>
      <c r="J8" s="127"/>
      <c r="K8" s="127"/>
      <c r="L8" s="133"/>
      <c r="M8" s="127"/>
      <c r="N8" s="127"/>
      <c r="O8" s="126"/>
      <c r="P8" s="12"/>
    </row>
    <row r="9" spans="1:16" ht="12.75">
      <c r="A9" s="65"/>
      <c r="B9" s="12"/>
      <c r="C9" s="12" t="s">
        <v>307</v>
      </c>
      <c r="D9" s="12"/>
      <c r="E9" s="3">
        <v>1</v>
      </c>
      <c r="F9" s="70">
        <f>[1]!SEIP1071P260F1000PPL</f>
        <v>0</v>
      </c>
      <c r="G9" s="137"/>
      <c r="H9" s="20"/>
      <c r="I9" s="20"/>
      <c r="J9" s="20"/>
      <c r="K9" s="20"/>
      <c r="L9" s="130"/>
      <c r="M9" s="20">
        <f>[1]!SEIP1071P260F1000</f>
        <v>0</v>
      </c>
      <c r="N9" s="6">
        <f>SUM(H7:L9)</f>
        <v>0</v>
      </c>
      <c r="O9" s="10" t="str">
        <f>IF(M9=0," ",(N9-M9)/M9)</f>
        <v> </v>
      </c>
      <c r="P9" s="2">
        <v>1</v>
      </c>
    </row>
    <row r="10" spans="1:16" ht="12.75">
      <c r="A10" s="65"/>
      <c r="B10" s="12"/>
      <c r="C10" s="12" t="s">
        <v>308</v>
      </c>
      <c r="D10" s="12"/>
      <c r="E10" s="3"/>
      <c r="F10" s="138"/>
      <c r="G10" s="139"/>
      <c r="H10" s="97"/>
      <c r="I10" s="97"/>
      <c r="J10" s="97"/>
      <c r="K10" s="97"/>
      <c r="L10" s="99"/>
      <c r="M10" s="138"/>
      <c r="N10" s="138"/>
      <c r="O10" s="138"/>
      <c r="P10" s="2"/>
    </row>
    <row r="11" spans="1:16" ht="12.75">
      <c r="A11" s="65"/>
      <c r="B11" s="12"/>
      <c r="C11" s="12" t="s">
        <v>446</v>
      </c>
      <c r="D11" s="12"/>
      <c r="E11" s="3">
        <v>2</v>
      </c>
      <c r="F11" s="70">
        <f>[1]!SEIP1071P260F2100PPL</f>
        <v>0</v>
      </c>
      <c r="G11" s="137"/>
      <c r="H11" s="20"/>
      <c r="I11" s="20"/>
      <c r="J11" s="20"/>
      <c r="K11" s="20"/>
      <c r="L11" s="130"/>
      <c r="M11" s="20">
        <f>[1]!SEIP1071P260F2100</f>
        <v>0</v>
      </c>
      <c r="N11" s="6">
        <f>SUM(H10:L11)</f>
        <v>0</v>
      </c>
      <c r="O11" s="10" t="str">
        <f>IF(M11=0," ",(N11-M11)/M11)</f>
        <v> </v>
      </c>
      <c r="P11" s="2">
        <v>2</v>
      </c>
    </row>
    <row r="12" spans="1:16" ht="12.75">
      <c r="A12" s="65"/>
      <c r="B12" s="12"/>
      <c r="C12" s="12" t="s">
        <v>449</v>
      </c>
      <c r="D12" s="12"/>
      <c r="E12" s="16">
        <v>3</v>
      </c>
      <c r="F12" s="70">
        <f>[1]!SEIP1071P260F2200PPL</f>
        <v>0</v>
      </c>
      <c r="G12" s="101"/>
      <c r="H12" s="102"/>
      <c r="I12" s="102"/>
      <c r="J12" s="102"/>
      <c r="K12" s="102"/>
      <c r="L12" s="102"/>
      <c r="M12" s="28">
        <f>[1]!SEIP1071P260F2200</f>
        <v>0</v>
      </c>
      <c r="N12" s="6">
        <f aca="true" t="shared" si="0" ref="N12:N17">SUM(H12:L12)</f>
        <v>0</v>
      </c>
      <c r="O12" s="129" t="str">
        <f aca="true" t="shared" si="1" ref="O12:O18">IF(M12=0," ",(N12-M12)/M12)</f>
        <v> </v>
      </c>
      <c r="P12" s="68">
        <v>3</v>
      </c>
    </row>
    <row r="13" spans="1:16" ht="12.75">
      <c r="A13" s="65"/>
      <c r="B13" s="12"/>
      <c r="C13" s="12" t="s">
        <v>447</v>
      </c>
      <c r="D13" s="12"/>
      <c r="E13" s="16">
        <v>4</v>
      </c>
      <c r="F13" s="69">
        <f>[1]!SEIP1071P260F2300PPL</f>
        <v>0</v>
      </c>
      <c r="G13" s="101"/>
      <c r="H13" s="102"/>
      <c r="I13" s="102"/>
      <c r="J13" s="102"/>
      <c r="K13" s="102"/>
      <c r="L13" s="102"/>
      <c r="M13" s="102">
        <f>[1]!SEIP1071P260F2300</f>
        <v>0</v>
      </c>
      <c r="N13" s="15">
        <f t="shared" si="0"/>
        <v>0</v>
      </c>
      <c r="O13" s="103" t="str">
        <f t="shared" si="1"/>
        <v> </v>
      </c>
      <c r="P13" s="68">
        <v>4</v>
      </c>
    </row>
    <row r="14" spans="1:16" ht="12.75">
      <c r="A14" s="65"/>
      <c r="B14" s="12"/>
      <c r="C14" s="12" t="s">
        <v>448</v>
      </c>
      <c r="D14" s="12"/>
      <c r="E14" s="16">
        <v>5</v>
      </c>
      <c r="F14" s="69">
        <f>[1]!SEIP1071P260F2400PPL</f>
        <v>0</v>
      </c>
      <c r="G14" s="101"/>
      <c r="H14" s="102"/>
      <c r="I14" s="102"/>
      <c r="J14" s="102"/>
      <c r="K14" s="102"/>
      <c r="L14" s="102"/>
      <c r="M14" s="102">
        <f>[1]!SEIP1071P260F2400</f>
        <v>0</v>
      </c>
      <c r="N14" s="15">
        <f t="shared" si="0"/>
        <v>0</v>
      </c>
      <c r="O14" s="103" t="str">
        <f t="shared" si="1"/>
        <v> </v>
      </c>
      <c r="P14" s="68">
        <v>5</v>
      </c>
    </row>
    <row r="15" spans="1:16" ht="12.75">
      <c r="A15" s="65"/>
      <c r="B15" s="12"/>
      <c r="C15" s="12" t="s">
        <v>450</v>
      </c>
      <c r="D15" s="12"/>
      <c r="E15" s="16">
        <v>6</v>
      </c>
      <c r="F15" s="69">
        <f>[1]!SEIP1071P260F2500PPL</f>
        <v>0</v>
      </c>
      <c r="G15" s="101"/>
      <c r="H15" s="102"/>
      <c r="I15" s="102"/>
      <c r="J15" s="102"/>
      <c r="K15" s="102"/>
      <c r="L15" s="102"/>
      <c r="M15" s="102">
        <f>[1]!SEIP1071P260F2500</f>
        <v>0</v>
      </c>
      <c r="N15" s="15">
        <f t="shared" si="0"/>
        <v>0</v>
      </c>
      <c r="O15" s="103" t="str">
        <f t="shared" si="1"/>
        <v> </v>
      </c>
      <c r="P15" s="68">
        <v>6</v>
      </c>
    </row>
    <row r="16" spans="1:16" ht="12.75">
      <c r="A16" s="65"/>
      <c r="B16" s="12"/>
      <c r="C16" s="12" t="s">
        <v>451</v>
      </c>
      <c r="D16" s="12"/>
      <c r="E16" s="16">
        <v>7</v>
      </c>
      <c r="F16" s="69">
        <f>[1]!SEIP1071P260F2600PPL</f>
        <v>0</v>
      </c>
      <c r="G16" s="69"/>
      <c r="H16" s="21"/>
      <c r="I16" s="21"/>
      <c r="J16" s="21"/>
      <c r="K16" s="21"/>
      <c r="L16" s="21"/>
      <c r="M16" s="102">
        <f>[1]!SEIP1071P260F2600</f>
        <v>0</v>
      </c>
      <c r="N16" s="15">
        <f t="shared" si="0"/>
        <v>0</v>
      </c>
      <c r="O16" s="103" t="str">
        <f t="shared" si="1"/>
        <v> </v>
      </c>
      <c r="P16" s="68">
        <v>7</v>
      </c>
    </row>
    <row r="17" spans="1:16" ht="12.75">
      <c r="A17" s="65"/>
      <c r="B17" s="12"/>
      <c r="C17" s="12" t="s">
        <v>453</v>
      </c>
      <c r="D17" s="12"/>
      <c r="E17" s="16">
        <v>8</v>
      </c>
      <c r="F17" s="69">
        <f>[1]!SEIP1071P260F2900PPL</f>
        <v>0</v>
      </c>
      <c r="G17" s="70"/>
      <c r="H17" s="20"/>
      <c r="I17" s="20"/>
      <c r="J17" s="20"/>
      <c r="K17" s="20"/>
      <c r="L17" s="20"/>
      <c r="M17" s="102">
        <f>[1]!SEIP1071P260F2900</f>
        <v>0</v>
      </c>
      <c r="N17" s="15">
        <f t="shared" si="0"/>
        <v>0</v>
      </c>
      <c r="O17" s="103" t="str">
        <f t="shared" si="1"/>
        <v> </v>
      </c>
      <c r="P17" s="68">
        <v>8</v>
      </c>
    </row>
    <row r="18" spans="1:16" ht="12.75">
      <c r="A18" s="71"/>
      <c r="B18" s="104" t="s">
        <v>459</v>
      </c>
      <c r="C18" s="26"/>
      <c r="D18" s="26"/>
      <c r="E18" s="18">
        <v>9</v>
      </c>
      <c r="F18" s="140">
        <f>SUM(F8:F17)</f>
        <v>0</v>
      </c>
      <c r="G18" s="66">
        <f aca="true" t="shared" si="2" ref="G18:L18">SUM(G7:G17)</f>
        <v>0</v>
      </c>
      <c r="H18" s="6">
        <f t="shared" si="2"/>
        <v>0</v>
      </c>
      <c r="I18" s="6">
        <f t="shared" si="2"/>
        <v>0</v>
      </c>
      <c r="J18" s="6">
        <f t="shared" si="2"/>
        <v>0</v>
      </c>
      <c r="K18" s="6">
        <f t="shared" si="2"/>
        <v>0</v>
      </c>
      <c r="L18" s="6">
        <f t="shared" si="2"/>
        <v>0</v>
      </c>
      <c r="M18" s="127">
        <f>SUM(M8:M17)</f>
        <v>0</v>
      </c>
      <c r="N18" s="127">
        <f>SUM(N8:N17)</f>
        <v>0</v>
      </c>
      <c r="O18" s="128" t="str">
        <f t="shared" si="1"/>
        <v> </v>
      </c>
      <c r="P18" s="2">
        <v>9</v>
      </c>
    </row>
    <row r="19" spans="1:16" ht="12.75">
      <c r="A19" s="65"/>
      <c r="B19" s="85" t="s">
        <v>456</v>
      </c>
      <c r="C19" s="12"/>
      <c r="D19" s="12"/>
      <c r="E19" s="3"/>
      <c r="F19" s="138"/>
      <c r="G19" s="139"/>
      <c r="H19" s="97"/>
      <c r="I19" s="97"/>
      <c r="J19" s="97"/>
      <c r="K19" s="97"/>
      <c r="L19" s="99"/>
      <c r="M19" s="138"/>
      <c r="N19" s="142"/>
      <c r="O19" s="138"/>
      <c r="P19" s="2"/>
    </row>
    <row r="20" spans="1:16" ht="12.75">
      <c r="A20" s="65"/>
      <c r="B20" s="12"/>
      <c r="C20" s="12" t="s">
        <v>308</v>
      </c>
      <c r="D20" s="12"/>
      <c r="E20" s="3"/>
      <c r="F20" s="140"/>
      <c r="G20" s="141"/>
      <c r="H20" s="127"/>
      <c r="I20" s="127"/>
      <c r="J20" s="127"/>
      <c r="K20" s="127"/>
      <c r="L20" s="133"/>
      <c r="M20" s="127"/>
      <c r="N20" s="133"/>
      <c r="O20" s="134"/>
      <c r="P20" s="2"/>
    </row>
    <row r="21" spans="1:16" ht="12.75">
      <c r="A21" s="65"/>
      <c r="B21" s="12"/>
      <c r="C21" s="12" t="s">
        <v>454</v>
      </c>
      <c r="D21" s="12"/>
      <c r="E21" s="3">
        <v>10</v>
      </c>
      <c r="F21" s="70">
        <f>[1]!SEIP1071P430F2700PPL</f>
        <v>0</v>
      </c>
      <c r="G21" s="137"/>
      <c r="H21" s="20"/>
      <c r="I21" s="20"/>
      <c r="J21" s="20"/>
      <c r="K21" s="20"/>
      <c r="L21" s="130"/>
      <c r="M21" s="20">
        <f>[1]!SEIP1071P430F2700</f>
        <v>0</v>
      </c>
      <c r="N21" s="131">
        <f>SUM(H19:L21)</f>
        <v>0</v>
      </c>
      <c r="O21" s="135" t="str">
        <f>IF(M21=0," ",(N21-M21)/M21)</f>
        <v> </v>
      </c>
      <c r="P21" s="2">
        <v>10</v>
      </c>
    </row>
    <row r="22" spans="1:16" ht="12.75">
      <c r="A22" s="105" t="s">
        <v>460</v>
      </c>
      <c r="B22" s="72"/>
      <c r="C22" s="72"/>
      <c r="D22" s="72"/>
      <c r="E22" s="17">
        <v>11</v>
      </c>
      <c r="F22" s="66">
        <f aca="true" t="shared" si="3" ref="F22:L22">SUM(F18:F21)</f>
        <v>0</v>
      </c>
      <c r="G22" s="66">
        <f t="shared" si="3"/>
        <v>0</v>
      </c>
      <c r="H22" s="15">
        <f t="shared" si="3"/>
        <v>0</v>
      </c>
      <c r="I22" s="15">
        <f t="shared" si="3"/>
        <v>0</v>
      </c>
      <c r="J22" s="15">
        <f t="shared" si="3"/>
        <v>0</v>
      </c>
      <c r="K22" s="15">
        <f t="shared" si="3"/>
        <v>0</v>
      </c>
      <c r="L22" s="15">
        <f t="shared" si="3"/>
        <v>0</v>
      </c>
      <c r="M22" s="6">
        <f>[1]!TotalSEIP</f>
        <v>0</v>
      </c>
      <c r="N22" s="6">
        <f>SUM(N18:N21)</f>
        <v>0</v>
      </c>
      <c r="O22" s="135" t="str">
        <f>IF(M22=0," ",(N22-M22)/M22)</f>
        <v> </v>
      </c>
      <c r="P22" s="68">
        <v>11</v>
      </c>
    </row>
    <row r="23" spans="1:16" ht="12.75">
      <c r="A23" s="12"/>
      <c r="B23" s="12"/>
      <c r="C23" s="12"/>
      <c r="D23" s="12"/>
      <c r="E23" s="12"/>
      <c r="F23" s="12"/>
      <c r="G23" s="12"/>
      <c r="H23" s="12"/>
      <c r="I23" s="12"/>
      <c r="J23" s="12"/>
      <c r="K23" s="12"/>
      <c r="L23" s="12"/>
      <c r="M23" s="12"/>
      <c r="N23" s="12"/>
      <c r="O23" s="12"/>
      <c r="P23" s="12"/>
    </row>
    <row r="24" spans="1:16" ht="12.75">
      <c r="A24" s="49"/>
      <c r="B24" s="50"/>
      <c r="C24" s="50"/>
      <c r="D24" s="50"/>
      <c r="E24" s="51"/>
      <c r="F24" s="52" t="s">
        <v>426</v>
      </c>
      <c r="G24" s="53"/>
      <c r="H24" s="54"/>
      <c r="I24" s="54"/>
      <c r="J24" s="55" t="s">
        <v>299</v>
      </c>
      <c r="K24" s="1"/>
      <c r="L24" s="1"/>
      <c r="M24" s="56" t="s">
        <v>346</v>
      </c>
      <c r="N24" s="57"/>
      <c r="O24" s="54"/>
      <c r="P24" s="12"/>
    </row>
    <row r="25" spans="1:16" ht="12.75">
      <c r="A25" s="4"/>
      <c r="B25" s="12"/>
      <c r="C25" s="12"/>
      <c r="D25" s="12"/>
      <c r="E25" s="58"/>
      <c r="F25" s="59" t="s">
        <v>424</v>
      </c>
      <c r="G25" s="60"/>
      <c r="H25" s="61"/>
      <c r="I25" s="61" t="s">
        <v>425</v>
      </c>
      <c r="J25" s="61" t="s">
        <v>302</v>
      </c>
      <c r="K25" s="62"/>
      <c r="L25" s="62"/>
      <c r="M25" s="62"/>
      <c r="N25" s="62"/>
      <c r="O25" s="61" t="s">
        <v>348</v>
      </c>
      <c r="P25" s="12"/>
    </row>
    <row r="26" spans="1:16" ht="12.75">
      <c r="A26" s="4" t="s">
        <v>377</v>
      </c>
      <c r="B26" s="12"/>
      <c r="C26" s="12"/>
      <c r="D26" s="12"/>
      <c r="E26" s="58"/>
      <c r="F26" s="217" t="s">
        <v>527</v>
      </c>
      <c r="G26" s="55" t="s">
        <v>347</v>
      </c>
      <c r="H26" s="61" t="s">
        <v>300</v>
      </c>
      <c r="I26" s="61" t="s">
        <v>301</v>
      </c>
      <c r="J26" s="61" t="s">
        <v>305</v>
      </c>
      <c r="K26" s="61" t="s">
        <v>303</v>
      </c>
      <c r="L26" s="61" t="s">
        <v>304</v>
      </c>
      <c r="M26" s="216" t="s">
        <v>528</v>
      </c>
      <c r="N26" s="216" t="s">
        <v>340</v>
      </c>
      <c r="O26" s="61" t="s">
        <v>349</v>
      </c>
      <c r="P26" s="12"/>
    </row>
    <row r="27" spans="1:16" ht="12.75">
      <c r="A27" s="63"/>
      <c r="B27" s="26"/>
      <c r="C27" s="26"/>
      <c r="D27" s="26"/>
      <c r="E27" s="18"/>
      <c r="F27" s="61" t="s">
        <v>339</v>
      </c>
      <c r="G27" s="64" t="s">
        <v>339</v>
      </c>
      <c r="H27" s="64">
        <v>6100</v>
      </c>
      <c r="I27" s="64">
        <v>6200</v>
      </c>
      <c r="J27" s="64">
        <v>6500</v>
      </c>
      <c r="K27" s="64">
        <v>6600</v>
      </c>
      <c r="L27" s="64">
        <v>6800</v>
      </c>
      <c r="M27" s="216">
        <v>2019</v>
      </c>
      <c r="N27" s="216">
        <v>2020</v>
      </c>
      <c r="O27" s="61" t="s">
        <v>350</v>
      </c>
      <c r="P27" s="12"/>
    </row>
    <row r="28" spans="1:16" ht="12.75">
      <c r="A28" s="208" t="s">
        <v>428</v>
      </c>
      <c r="B28" s="195"/>
      <c r="C28" s="195"/>
      <c r="D28" s="195"/>
      <c r="E28" s="136"/>
      <c r="F28" s="138"/>
      <c r="G28" s="139"/>
      <c r="H28" s="97"/>
      <c r="I28" s="97"/>
      <c r="J28" s="97"/>
      <c r="K28" s="97"/>
      <c r="L28" s="99"/>
      <c r="M28" s="138"/>
      <c r="N28" s="138"/>
      <c r="O28" s="138"/>
      <c r="P28" s="12"/>
    </row>
    <row r="29" spans="1:16" ht="12.75">
      <c r="A29" s="65"/>
      <c r="B29" s="12" t="s">
        <v>429</v>
      </c>
      <c r="C29" s="12"/>
      <c r="D29" s="12"/>
      <c r="E29" s="3"/>
      <c r="F29" s="140"/>
      <c r="G29" s="141"/>
      <c r="H29" s="127"/>
      <c r="I29" s="127"/>
      <c r="J29" s="127"/>
      <c r="K29" s="127"/>
      <c r="L29" s="133"/>
      <c r="M29" s="127"/>
      <c r="N29" s="127"/>
      <c r="O29" s="126"/>
      <c r="P29" s="12"/>
    </row>
    <row r="30" spans="1:16" ht="12.75">
      <c r="A30" s="65"/>
      <c r="B30" s="12"/>
      <c r="C30" s="12" t="s">
        <v>307</v>
      </c>
      <c r="D30" s="12"/>
      <c r="E30" s="3">
        <v>12</v>
      </c>
      <c r="F30" s="70">
        <f>[1]!CIP1072P265F1000PPL</f>
        <v>0</v>
      </c>
      <c r="G30" s="137"/>
      <c r="H30" s="20"/>
      <c r="I30" s="20"/>
      <c r="J30" s="20"/>
      <c r="K30" s="20"/>
      <c r="L30" s="130"/>
      <c r="M30" s="20">
        <f>[1]!CIP1072P265F1000</f>
        <v>0</v>
      </c>
      <c r="N30" s="6">
        <f>SUM(H28:L30)</f>
        <v>0</v>
      </c>
      <c r="O30" s="10" t="str">
        <f>IF(M30=0," ",(N30-M30)/M30)</f>
        <v> </v>
      </c>
      <c r="P30" s="2">
        <v>12</v>
      </c>
    </row>
    <row r="31" spans="1:16" ht="12.75">
      <c r="A31" s="65"/>
      <c r="B31" s="12"/>
      <c r="C31" s="12" t="s">
        <v>308</v>
      </c>
      <c r="D31" s="12"/>
      <c r="E31" s="3"/>
      <c r="F31" s="138"/>
      <c r="G31" s="139"/>
      <c r="H31" s="97"/>
      <c r="I31" s="97"/>
      <c r="J31" s="97"/>
      <c r="K31" s="97"/>
      <c r="L31" s="99"/>
      <c r="M31" s="138"/>
      <c r="N31" s="138"/>
      <c r="O31" s="138"/>
      <c r="P31" s="12"/>
    </row>
    <row r="32" spans="1:16" ht="12.75">
      <c r="A32" s="65"/>
      <c r="B32" s="12"/>
      <c r="C32" s="12" t="s">
        <v>446</v>
      </c>
      <c r="D32" s="12"/>
      <c r="E32" s="3">
        <v>13</v>
      </c>
      <c r="F32" s="70">
        <f>[1]!CIP1072P265F2100PPL</f>
        <v>0</v>
      </c>
      <c r="G32" s="137"/>
      <c r="H32" s="20"/>
      <c r="I32" s="20"/>
      <c r="J32" s="20"/>
      <c r="K32" s="20"/>
      <c r="L32" s="130"/>
      <c r="M32" s="20">
        <f>[1]!CIP1072P265F2100</f>
        <v>0</v>
      </c>
      <c r="N32" s="6">
        <f>SUM(H31:L32)</f>
        <v>0</v>
      </c>
      <c r="O32" s="10" t="str">
        <f>IF(M32=0," ",(N32-M32)/M32)</f>
        <v> </v>
      </c>
      <c r="P32" s="2">
        <v>13</v>
      </c>
    </row>
    <row r="33" spans="1:16" ht="12.75">
      <c r="A33" s="65"/>
      <c r="B33" s="12"/>
      <c r="C33" s="12" t="s">
        <v>449</v>
      </c>
      <c r="D33" s="12"/>
      <c r="E33" s="16">
        <v>14</v>
      </c>
      <c r="F33" s="70">
        <f>[1]!CIP1072P265F2200PPL</f>
        <v>0</v>
      </c>
      <c r="G33" s="101"/>
      <c r="H33" s="102"/>
      <c r="I33" s="102"/>
      <c r="J33" s="102"/>
      <c r="K33" s="102"/>
      <c r="L33" s="102"/>
      <c r="M33" s="28">
        <f>[1]!CIP1072P265F2200</f>
        <v>0</v>
      </c>
      <c r="N33" s="6">
        <f aca="true" t="shared" si="4" ref="N33:N38">SUM(H33:L33)</f>
        <v>0</v>
      </c>
      <c r="O33" s="129" t="str">
        <f aca="true" t="shared" si="5" ref="O33:O39">IF(M33=0," ",(N33-M33)/M33)</f>
        <v> </v>
      </c>
      <c r="P33" s="68">
        <v>14</v>
      </c>
    </row>
    <row r="34" spans="1:16" ht="12.75">
      <c r="A34" s="65"/>
      <c r="B34" s="12"/>
      <c r="C34" s="12" t="s">
        <v>447</v>
      </c>
      <c r="D34" s="12"/>
      <c r="E34" s="16">
        <v>15</v>
      </c>
      <c r="F34" s="70">
        <f>[1]!CIP1072P265F2300PPL</f>
        <v>0</v>
      </c>
      <c r="G34" s="67"/>
      <c r="H34" s="28"/>
      <c r="I34" s="28"/>
      <c r="J34" s="28"/>
      <c r="K34" s="28"/>
      <c r="L34" s="28"/>
      <c r="M34" s="102">
        <f>[1]!CIP1072P265F2300</f>
        <v>0</v>
      </c>
      <c r="N34" s="15">
        <f t="shared" si="4"/>
        <v>0</v>
      </c>
      <c r="O34" s="103" t="str">
        <f t="shared" si="5"/>
        <v> </v>
      </c>
      <c r="P34" s="68">
        <v>15</v>
      </c>
    </row>
    <row r="35" spans="1:16" ht="12.75">
      <c r="A35" s="65"/>
      <c r="B35" s="12"/>
      <c r="C35" s="12" t="s">
        <v>448</v>
      </c>
      <c r="D35" s="12"/>
      <c r="E35" s="16">
        <v>16</v>
      </c>
      <c r="F35" s="70">
        <f>[1]!CIP1072P265F2400PPL</f>
        <v>0</v>
      </c>
      <c r="G35" s="67"/>
      <c r="H35" s="28"/>
      <c r="I35" s="28"/>
      <c r="J35" s="28"/>
      <c r="K35" s="28"/>
      <c r="L35" s="28"/>
      <c r="M35" s="102">
        <f>[1]!CIP1072P265F2400</f>
        <v>0</v>
      </c>
      <c r="N35" s="15">
        <f t="shared" si="4"/>
        <v>0</v>
      </c>
      <c r="O35" s="103" t="str">
        <f t="shared" si="5"/>
        <v> </v>
      </c>
      <c r="P35" s="68">
        <v>16</v>
      </c>
    </row>
    <row r="36" spans="1:16" ht="12.75">
      <c r="A36" s="65"/>
      <c r="B36" s="12"/>
      <c r="C36" s="12" t="s">
        <v>450</v>
      </c>
      <c r="D36" s="12"/>
      <c r="E36" s="16">
        <v>17</v>
      </c>
      <c r="F36" s="70">
        <f>[1]!CIP1072P265F2500PPL</f>
        <v>0</v>
      </c>
      <c r="G36" s="67"/>
      <c r="H36" s="28"/>
      <c r="I36" s="28"/>
      <c r="J36" s="28"/>
      <c r="K36" s="28"/>
      <c r="L36" s="28"/>
      <c r="M36" s="102">
        <f>[1]!CIP1072P265F2500</f>
        <v>0</v>
      </c>
      <c r="N36" s="15">
        <f t="shared" si="4"/>
        <v>0</v>
      </c>
      <c r="O36" s="103" t="str">
        <f t="shared" si="5"/>
        <v> </v>
      </c>
      <c r="P36" s="68">
        <v>17</v>
      </c>
    </row>
    <row r="37" spans="1:16" ht="12.75">
      <c r="A37" s="65"/>
      <c r="B37" s="12"/>
      <c r="C37" s="12" t="s">
        <v>451</v>
      </c>
      <c r="D37" s="12"/>
      <c r="E37" s="16">
        <v>18</v>
      </c>
      <c r="F37" s="69">
        <f>[1]!CIP1072P265F2600PPL</f>
        <v>0</v>
      </c>
      <c r="G37" s="69"/>
      <c r="H37" s="21"/>
      <c r="I37" s="21"/>
      <c r="J37" s="21"/>
      <c r="K37" s="21"/>
      <c r="L37" s="21"/>
      <c r="M37" s="102">
        <f>[1]!CIP1072P265F2600</f>
        <v>0</v>
      </c>
      <c r="N37" s="15">
        <f t="shared" si="4"/>
        <v>0</v>
      </c>
      <c r="O37" s="103" t="str">
        <f t="shared" si="5"/>
        <v> </v>
      </c>
      <c r="P37" s="68">
        <v>18</v>
      </c>
    </row>
    <row r="38" spans="1:16" ht="12.75">
      <c r="A38" s="65"/>
      <c r="B38" s="12"/>
      <c r="C38" s="12" t="s">
        <v>453</v>
      </c>
      <c r="D38" s="12"/>
      <c r="E38" s="16">
        <v>19</v>
      </c>
      <c r="F38" s="70">
        <f>[1]!CIP1072P265F2900PPL</f>
        <v>0</v>
      </c>
      <c r="G38" s="70"/>
      <c r="H38" s="20"/>
      <c r="I38" s="20"/>
      <c r="J38" s="20"/>
      <c r="K38" s="20"/>
      <c r="L38" s="20"/>
      <c r="M38" s="102">
        <f>[1]!CIP1072P265F2900</f>
        <v>0</v>
      </c>
      <c r="N38" s="15">
        <f t="shared" si="4"/>
        <v>0</v>
      </c>
      <c r="O38" s="103" t="str">
        <f t="shared" si="5"/>
        <v> </v>
      </c>
      <c r="P38" s="68">
        <v>19</v>
      </c>
    </row>
    <row r="39" spans="1:16" ht="12.75">
      <c r="A39" s="71"/>
      <c r="B39" s="104" t="s">
        <v>461</v>
      </c>
      <c r="C39" s="26"/>
      <c r="D39" s="26"/>
      <c r="E39" s="18">
        <v>20</v>
      </c>
      <c r="F39" s="140">
        <f>SUM(F29:F38)</f>
        <v>0</v>
      </c>
      <c r="G39" s="66">
        <f aca="true" t="shared" si="6" ref="G39:L39">SUM(G28:G38)</f>
        <v>0</v>
      </c>
      <c r="H39" s="6">
        <f t="shared" si="6"/>
        <v>0</v>
      </c>
      <c r="I39" s="6">
        <f t="shared" si="6"/>
        <v>0</v>
      </c>
      <c r="J39" s="6">
        <f t="shared" si="6"/>
        <v>0</v>
      </c>
      <c r="K39" s="6">
        <f t="shared" si="6"/>
        <v>0</v>
      </c>
      <c r="L39" s="6">
        <f t="shared" si="6"/>
        <v>0</v>
      </c>
      <c r="M39" s="127">
        <f>SUM(M29:M38)</f>
        <v>0</v>
      </c>
      <c r="N39" s="127">
        <f>SUM(N29:N38)</f>
        <v>0</v>
      </c>
      <c r="O39" s="128" t="str">
        <f t="shared" si="5"/>
        <v> </v>
      </c>
      <c r="P39" s="2">
        <v>20</v>
      </c>
    </row>
    <row r="40" spans="1:16" ht="12.75">
      <c r="A40" s="65"/>
      <c r="B40" s="85" t="s">
        <v>457</v>
      </c>
      <c r="C40" s="12"/>
      <c r="D40" s="12"/>
      <c r="E40" s="3"/>
      <c r="F40" s="138"/>
      <c r="G40" s="139"/>
      <c r="H40" s="97"/>
      <c r="I40" s="97"/>
      <c r="J40" s="97"/>
      <c r="K40" s="97"/>
      <c r="L40" s="99"/>
      <c r="M40" s="138"/>
      <c r="N40" s="138"/>
      <c r="O40" s="138"/>
      <c r="P40" s="2"/>
    </row>
    <row r="41" spans="1:16" ht="12.75">
      <c r="A41" s="65"/>
      <c r="B41" s="12"/>
      <c r="C41" s="12" t="s">
        <v>308</v>
      </c>
      <c r="D41" s="12"/>
      <c r="E41" s="3"/>
      <c r="F41" s="140"/>
      <c r="G41" s="141"/>
      <c r="H41" s="127"/>
      <c r="I41" s="127"/>
      <c r="J41" s="127"/>
      <c r="K41" s="127"/>
      <c r="L41" s="133"/>
      <c r="M41" s="127"/>
      <c r="N41" s="127"/>
      <c r="O41" s="134"/>
      <c r="P41" s="2"/>
    </row>
    <row r="42" spans="1:16" ht="12.75">
      <c r="A42" s="65"/>
      <c r="B42" s="12"/>
      <c r="C42" s="12" t="s">
        <v>454</v>
      </c>
      <c r="D42" s="12"/>
      <c r="E42" s="3">
        <v>21</v>
      </c>
      <c r="F42" s="70">
        <f>[1]!CIP1072P435F2700PPL</f>
        <v>0</v>
      </c>
      <c r="G42" s="137"/>
      <c r="H42" s="20"/>
      <c r="I42" s="20"/>
      <c r="J42" s="20"/>
      <c r="K42" s="20"/>
      <c r="L42" s="130"/>
      <c r="M42" s="20">
        <f>[1]!CIP1072P435F2700</f>
        <v>0</v>
      </c>
      <c r="N42" s="6">
        <f>SUM(H40:L42)</f>
        <v>0</v>
      </c>
      <c r="O42" s="135" t="str">
        <f>IF(M42=0," ",(N42-M42)/M42)</f>
        <v> </v>
      </c>
      <c r="P42" s="2">
        <v>21</v>
      </c>
    </row>
    <row r="43" spans="1:16" ht="12.75">
      <c r="A43" s="105" t="s">
        <v>462</v>
      </c>
      <c r="B43" s="72"/>
      <c r="C43" s="72"/>
      <c r="D43" s="72"/>
      <c r="E43" s="17">
        <v>22</v>
      </c>
      <c r="F43" s="66">
        <f>SUM(F39:F42)</f>
        <v>0</v>
      </c>
      <c r="G43" s="66">
        <f aca="true" t="shared" si="7" ref="G43:L43">SUM(G39:G42)</f>
        <v>0</v>
      </c>
      <c r="H43" s="15">
        <f t="shared" si="7"/>
        <v>0</v>
      </c>
      <c r="I43" s="15">
        <f t="shared" si="7"/>
        <v>0</v>
      </c>
      <c r="J43" s="15">
        <f t="shared" si="7"/>
        <v>0</v>
      </c>
      <c r="K43" s="15">
        <f t="shared" si="7"/>
        <v>0</v>
      </c>
      <c r="L43" s="15">
        <f t="shared" si="7"/>
        <v>0</v>
      </c>
      <c r="M43" s="6">
        <f>SUM(M39:M42)</f>
        <v>0</v>
      </c>
      <c r="N43" s="6">
        <f>SUM(N39:N42)</f>
        <v>0</v>
      </c>
      <c r="O43" s="135" t="str">
        <f>IF(M43=0," ",(N43-M43)/M43)</f>
        <v> </v>
      </c>
      <c r="P43" s="68">
        <v>22</v>
      </c>
    </row>
  </sheetData>
  <sheetProtection sheet="1"/>
  <mergeCells count="4">
    <mergeCell ref="D1:F1"/>
    <mergeCell ref="J1:K1"/>
    <mergeCell ref="N1:O1"/>
    <mergeCell ref="D3:D4"/>
  </mergeCells>
  <hyperlinks>
    <hyperlink ref="B7:D7" r:id="rId1" display="Structured English Immersion Project - 1071"/>
    <hyperlink ref="A7:D7" r:id="rId2" display="Structured English Immersion Project - 1071"/>
    <hyperlink ref="A28:D28" location="Pg4CompensatoryInstructionProj" display="Compensatory Instruction Project - 1072"/>
    <hyperlink ref="A7:F7" location="Pg4EnglishLanguageLearnerProj" display="Structured English Language Learner Immersion Project - 1071"/>
  </hyperlinks>
  <printOptions horizontalCentered="1" verticalCentered="1"/>
  <pageMargins left="0.75" right="0.5" top="0.25" bottom="0.25" header="0" footer="0"/>
  <pageSetup fitToHeight="1" fitToWidth="1" horizontalDpi="600" verticalDpi="600" orientation="landscape" scale="76" r:id="rId4"/>
  <headerFooter>
    <oddFooter>&amp;L&amp;"Arial,Bold"Rev. 5/19 Arizona Department of Education and Auditor General&amp;R&amp;"Arial,Bold"Page 4 of 4</oddFooter>
  </headerFooter>
  <drawing r:id="rId3"/>
</worksheet>
</file>

<file path=xl/worksheets/sheet7.xml><?xml version="1.0" encoding="utf-8"?>
<worksheet xmlns="http://schemas.openxmlformats.org/spreadsheetml/2006/main" xmlns:r="http://schemas.openxmlformats.org/officeDocument/2006/relationships">
  <sheetPr>
    <pageSetUpPr fitToPage="1"/>
  </sheetPr>
  <dimension ref="A1:N53"/>
  <sheetViews>
    <sheetView showGridLines="0" zoomScale="90" zoomScaleNormal="90" workbookViewId="0" topLeftCell="A1">
      <selection activeCell="E41" sqref="E41"/>
    </sheetView>
  </sheetViews>
  <sheetFormatPr defaultColWidth="9.140625" defaultRowHeight="12.75"/>
  <cols>
    <col min="1" max="2" width="1.57421875" style="145" customWidth="1"/>
    <col min="3" max="3" width="42.140625" style="145" customWidth="1"/>
    <col min="4" max="5" width="12.7109375" style="145" customWidth="1"/>
    <col min="6" max="6" width="9.7109375" style="145" customWidth="1"/>
    <col min="7" max="7" width="4.7109375" style="145" customWidth="1"/>
    <col min="8" max="8" width="27.28125" style="145" customWidth="1"/>
    <col min="9" max="9" width="5.28125" style="145" customWidth="1"/>
    <col min="10" max="12" width="12.7109375" style="145" customWidth="1"/>
    <col min="13" max="13" width="9.7109375" style="145" customWidth="1"/>
    <col min="14" max="16384" width="9.140625" style="145" customWidth="1"/>
  </cols>
  <sheetData>
    <row r="1" spans="1:12" ht="23.25" customHeight="1">
      <c r="A1" s="553" t="s">
        <v>232</v>
      </c>
      <c r="B1" s="553"/>
      <c r="C1" s="553"/>
      <c r="D1" s="553"/>
      <c r="E1" s="553"/>
      <c r="F1" s="553"/>
      <c r="G1" s="553"/>
      <c r="H1" s="553"/>
      <c r="I1" s="553"/>
      <c r="J1" s="553"/>
      <c r="K1" s="146" t="s">
        <v>475</v>
      </c>
      <c r="L1" s="147" t="str">
        <f>[0]!CTD</f>
        <v>078945000</v>
      </c>
    </row>
    <row r="2" ht="3.75" customHeight="1"/>
    <row r="3" spans="1:13" ht="12" customHeight="1">
      <c r="A3" s="160" t="s">
        <v>496</v>
      </c>
      <c r="B3" s="161"/>
      <c r="C3" s="161"/>
      <c r="D3" s="606" t="s">
        <v>346</v>
      </c>
      <c r="E3" s="607"/>
      <c r="F3" s="156" t="s">
        <v>348</v>
      </c>
      <c r="H3" s="597" t="str">
        <f>"The budget of "&amp;IF(Cover!$D$3=0,Cover!$D$1,Cover!$D$1&amp;" (d.b.a. "&amp;Cover!$D$3&amp;")")&amp;" for fiscal year 2020 was officially proposed by the Governing Board on "&amp;TEXT(Cover!$F$20,"mmmm dd, yyyy")&amp;". The complete budget may be reviewed by contacting "&amp;Cover!$O$15&amp;" at "&amp;Cover!$M$16&amp;" or "&amp;Cover!$P$16&amp;"."</f>
        <v>The budget of NORTH STAR CHARTER SCHOOL, INC. for fiscal year 2020 was officially proposed by the Governing Board on June 24, 2019. The complete budget may be reviewed by contacting Kurt Huzar at 6025685565 or huzarcpa@aol.com.</v>
      </c>
      <c r="I3" s="598"/>
      <c r="J3" s="598"/>
      <c r="K3" s="598"/>
      <c r="L3" s="598"/>
      <c r="M3" s="599"/>
    </row>
    <row r="4" spans="1:13" ht="12" customHeight="1">
      <c r="A4" s="162"/>
      <c r="D4" s="156" t="s">
        <v>528</v>
      </c>
      <c r="E4" s="156" t="s">
        <v>340</v>
      </c>
      <c r="F4" s="163" t="s">
        <v>349</v>
      </c>
      <c r="H4" s="600"/>
      <c r="I4" s="601"/>
      <c r="J4" s="601"/>
      <c r="K4" s="601"/>
      <c r="L4" s="601"/>
      <c r="M4" s="602"/>
    </row>
    <row r="5" spans="1:13" ht="12" customHeight="1">
      <c r="A5" s="162" t="s">
        <v>306</v>
      </c>
      <c r="D5" s="508">
        <v>2019</v>
      </c>
      <c r="E5" s="508">
        <v>2020</v>
      </c>
      <c r="F5" s="164" t="s">
        <v>350</v>
      </c>
      <c r="H5" s="600"/>
      <c r="I5" s="601"/>
      <c r="J5" s="601"/>
      <c r="K5" s="601"/>
      <c r="L5" s="601"/>
      <c r="M5" s="602"/>
    </row>
    <row r="6" spans="1:13" ht="12" customHeight="1">
      <c r="A6" s="162"/>
      <c r="B6" s="145" t="s">
        <v>307</v>
      </c>
      <c r="D6" s="149">
        <f>SP1000P100F1000CY</f>
        <v>1532878</v>
      </c>
      <c r="E6" s="149">
        <f>SP1000P100F1000</f>
        <v>4167545</v>
      </c>
      <c r="F6" s="165">
        <f>IF(D6=0," ",(E6-D6)/D6)</f>
        <v>1.719</v>
      </c>
      <c r="H6" s="600"/>
      <c r="I6" s="601"/>
      <c r="J6" s="601"/>
      <c r="K6" s="601"/>
      <c r="L6" s="601"/>
      <c r="M6" s="602"/>
    </row>
    <row r="7" spans="1:13" ht="12" customHeight="1">
      <c r="A7" s="162"/>
      <c r="B7" s="145" t="s">
        <v>308</v>
      </c>
      <c r="D7" s="150"/>
      <c r="E7" s="171"/>
      <c r="F7" s="150"/>
      <c r="H7" s="603"/>
      <c r="I7" s="604"/>
      <c r="J7" s="604"/>
      <c r="K7" s="604"/>
      <c r="L7" s="604"/>
      <c r="M7" s="605"/>
    </row>
    <row r="8" spans="1:11" ht="12" customHeight="1">
      <c r="A8" s="162"/>
      <c r="C8" s="145" t="s">
        <v>476</v>
      </c>
      <c r="D8" s="149">
        <f>SP1000P100F2100CY</f>
        <v>0</v>
      </c>
      <c r="E8" s="182">
        <f>SP1000P100F2100</f>
        <v>0</v>
      </c>
      <c r="F8" s="166" t="str">
        <f>IF(D8=0," ",(E8-D8)/D8)</f>
        <v> </v>
      </c>
      <c r="H8" s="159"/>
      <c r="I8" s="159"/>
      <c r="J8" s="159"/>
      <c r="K8" s="159"/>
    </row>
    <row r="9" spans="1:13" ht="12" customHeight="1">
      <c r="A9" s="162"/>
      <c r="C9" s="145" t="s">
        <v>477</v>
      </c>
      <c r="D9" s="148">
        <f>SP1000P100F2200CY</f>
        <v>0</v>
      </c>
      <c r="E9" s="148">
        <f>SP1000P100F2200</f>
        <v>0</v>
      </c>
      <c r="F9" s="169" t="str">
        <f>IF(D9=0," ",(E9-D9)/D9)</f>
        <v> </v>
      </c>
      <c r="H9" s="171"/>
      <c r="I9" s="161"/>
      <c r="J9" s="172"/>
      <c r="K9" s="608" t="s">
        <v>346</v>
      </c>
      <c r="L9" s="609"/>
      <c r="M9" s="156" t="s">
        <v>348</v>
      </c>
    </row>
    <row r="10" spans="1:13" ht="12" customHeight="1">
      <c r="A10" s="162"/>
      <c r="C10" s="145" t="s">
        <v>478</v>
      </c>
      <c r="D10" s="148">
        <f>SP1000P100F2300CY</f>
        <v>233155</v>
      </c>
      <c r="E10" s="148">
        <f>SP1000P100F2300</f>
        <v>628091</v>
      </c>
      <c r="F10" s="165">
        <f aca="true" t="shared" si="0" ref="F10:F21">IF(D10=0," ",(E10-D10)/D10)</f>
        <v>1.694</v>
      </c>
      <c r="H10" s="173" t="s">
        <v>490</v>
      </c>
      <c r="I10" s="177"/>
      <c r="J10" s="178"/>
      <c r="K10" s="156" t="s">
        <v>528</v>
      </c>
      <c r="L10" s="156" t="s">
        <v>340</v>
      </c>
      <c r="M10" s="163" t="s">
        <v>349</v>
      </c>
    </row>
    <row r="11" spans="1:13" ht="12" customHeight="1">
      <c r="A11" s="162"/>
      <c r="C11" s="145" t="s">
        <v>479</v>
      </c>
      <c r="D11" s="148">
        <f>SP1000P100F2400CY</f>
        <v>286773</v>
      </c>
      <c r="E11" s="148">
        <f>SP1000P100F2400</f>
        <v>256227</v>
      </c>
      <c r="F11" s="165">
        <f t="shared" si="0"/>
        <v>-0.107</v>
      </c>
      <c r="H11" s="174"/>
      <c r="I11" s="179"/>
      <c r="J11" s="151"/>
      <c r="K11" s="508">
        <v>2019</v>
      </c>
      <c r="L11" s="508">
        <v>2020</v>
      </c>
      <c r="M11" s="164" t="s">
        <v>350</v>
      </c>
    </row>
    <row r="12" spans="1:13" ht="12" customHeight="1">
      <c r="A12" s="162"/>
      <c r="C12" s="145" t="s">
        <v>480</v>
      </c>
      <c r="D12" s="148">
        <f>SP1000P100F2500CY</f>
        <v>0</v>
      </c>
      <c r="E12" s="148">
        <f>SP1000P100F2500</f>
        <v>0</v>
      </c>
      <c r="F12" s="165" t="str">
        <f t="shared" si="0"/>
        <v> </v>
      </c>
      <c r="H12" s="175" t="s">
        <v>548</v>
      </c>
      <c r="I12" s="146"/>
      <c r="J12" s="178"/>
      <c r="K12" s="149">
        <f>'Page 2'!M5</f>
        <v>42000</v>
      </c>
      <c r="L12" s="149">
        <f>'Page 2'!N5</f>
        <v>66537</v>
      </c>
      <c r="M12" s="165">
        <f aca="true" t="shared" si="1" ref="M12:M19">IF(K12=0," ",(L12-K12)/K12)</f>
        <v>0.584</v>
      </c>
    </row>
    <row r="13" spans="1:13" ht="12" customHeight="1">
      <c r="A13" s="162"/>
      <c r="C13" s="145" t="s">
        <v>481</v>
      </c>
      <c r="D13" s="148">
        <f>SP1000P100F2600CY</f>
        <v>46563</v>
      </c>
      <c r="E13" s="148">
        <f>SP1000P100F2600</f>
        <v>60479</v>
      </c>
      <c r="F13" s="165">
        <f t="shared" si="0"/>
        <v>0.299</v>
      </c>
      <c r="H13" s="175" t="s">
        <v>318</v>
      </c>
      <c r="I13" s="146"/>
      <c r="J13" s="178"/>
      <c r="K13" s="149">
        <f>P200GiftedEducationCY</f>
        <v>0</v>
      </c>
      <c r="L13" s="148">
        <f>P200GiftedEducation</f>
        <v>0</v>
      </c>
      <c r="M13" s="165" t="str">
        <f t="shared" si="1"/>
        <v> </v>
      </c>
    </row>
    <row r="14" spans="1:13" ht="12" customHeight="1">
      <c r="A14" s="162"/>
      <c r="C14" s="145" t="s">
        <v>482</v>
      </c>
      <c r="D14" s="148">
        <f>SP1000P100F2900CY</f>
        <v>0</v>
      </c>
      <c r="E14" s="148">
        <f>SP1000P100F2900</f>
        <v>0</v>
      </c>
      <c r="F14" s="165" t="str">
        <f t="shared" si="0"/>
        <v> </v>
      </c>
      <c r="H14" s="175" t="s">
        <v>430</v>
      </c>
      <c r="I14" s="146"/>
      <c r="J14" s="178"/>
      <c r="K14" s="149">
        <f>P200ELLIncrementalCostsCY</f>
        <v>0</v>
      </c>
      <c r="L14" s="148">
        <f>P200ELLIncrementalCosts</f>
        <v>0</v>
      </c>
      <c r="M14" s="165" t="str">
        <f t="shared" si="1"/>
        <v> </v>
      </c>
    </row>
    <row r="15" spans="1:13" ht="12" customHeight="1">
      <c r="A15" s="162"/>
      <c r="B15" s="145" t="s">
        <v>311</v>
      </c>
      <c r="D15" s="148">
        <f>SP1000P100F3000CY</f>
        <v>0</v>
      </c>
      <c r="E15" s="148">
        <f>SP1000P100F3000</f>
        <v>0</v>
      </c>
      <c r="F15" s="165" t="str">
        <f t="shared" si="0"/>
        <v> </v>
      </c>
      <c r="H15" s="175" t="s">
        <v>431</v>
      </c>
      <c r="I15" s="146"/>
      <c r="J15" s="178"/>
      <c r="K15" s="148">
        <f>P200ELLCompensatoryInstructionCY</f>
        <v>0</v>
      </c>
      <c r="L15" s="148">
        <f>P200ELLCompensatoryInstruction</f>
        <v>0</v>
      </c>
      <c r="M15" s="165" t="str">
        <f t="shared" si="1"/>
        <v> </v>
      </c>
    </row>
    <row r="16" spans="1:13" ht="12" customHeight="1">
      <c r="A16" s="162"/>
      <c r="B16" s="145" t="s">
        <v>435</v>
      </c>
      <c r="D16" s="148">
        <f>SP1000P100F4000CY</f>
        <v>0</v>
      </c>
      <c r="E16" s="148">
        <f>SP1000P100F4000</f>
        <v>0</v>
      </c>
      <c r="F16" s="165" t="str">
        <f t="shared" si="0"/>
        <v> </v>
      </c>
      <c r="H16" s="175" t="s">
        <v>319</v>
      </c>
      <c r="I16" s="146"/>
      <c r="J16" s="178"/>
      <c r="K16" s="148">
        <f>P200RemedialEducationCY</f>
        <v>0</v>
      </c>
      <c r="L16" s="148">
        <f>P200RemedialEducation</f>
        <v>0</v>
      </c>
      <c r="M16" s="165" t="str">
        <f t="shared" si="1"/>
        <v> </v>
      </c>
    </row>
    <row r="17" spans="1:13" ht="12" customHeight="1">
      <c r="A17" s="162"/>
      <c r="B17" s="145" t="s">
        <v>312</v>
      </c>
      <c r="D17" s="148">
        <f>SP1000P100F5000CY</f>
        <v>281967</v>
      </c>
      <c r="E17" s="148">
        <f>SP1000P100F5000</f>
        <v>280000</v>
      </c>
      <c r="F17" s="165">
        <f t="shared" si="0"/>
        <v>-0.007</v>
      </c>
      <c r="H17" s="509" t="s">
        <v>229</v>
      </c>
      <c r="I17" s="146"/>
      <c r="J17" s="178"/>
      <c r="K17" s="148">
        <f>P200VocationalandTechnologicalEdCY</f>
        <v>0</v>
      </c>
      <c r="L17" s="148">
        <f>P200VocationalandTechnologicalEd</f>
        <v>0</v>
      </c>
      <c r="M17" s="165" t="str">
        <f t="shared" si="1"/>
        <v> </v>
      </c>
    </row>
    <row r="18" spans="1:13" ht="12" customHeight="1">
      <c r="A18" s="162" t="s">
        <v>361</v>
      </c>
      <c r="D18" s="148">
        <f>SP1000P610CY</f>
        <v>0</v>
      </c>
      <c r="E18" s="148">
        <f>SP1000P610</f>
        <v>0</v>
      </c>
      <c r="F18" s="165" t="str">
        <f t="shared" si="0"/>
        <v> </v>
      </c>
      <c r="H18" s="175" t="s">
        <v>320</v>
      </c>
      <c r="I18" s="146"/>
      <c r="J18" s="178"/>
      <c r="K18" s="158">
        <f>P200CareerEducationCY</f>
        <v>0</v>
      </c>
      <c r="L18" s="158">
        <f>P200CareerEducation</f>
        <v>0</v>
      </c>
      <c r="M18" s="165" t="str">
        <f t="shared" si="1"/>
        <v> </v>
      </c>
    </row>
    <row r="19" spans="1:13" ht="12" customHeight="1">
      <c r="A19" s="162" t="s">
        <v>363</v>
      </c>
      <c r="D19" s="148">
        <f>SP1000P620CY</f>
        <v>0</v>
      </c>
      <c r="E19" s="148">
        <f>SP1000P620</f>
        <v>0</v>
      </c>
      <c r="F19" s="165" t="str">
        <f t="shared" si="0"/>
        <v> </v>
      </c>
      <c r="H19" s="595" t="s">
        <v>487</v>
      </c>
      <c r="I19" s="596"/>
      <c r="J19" s="596"/>
      <c r="K19" s="148">
        <f>SUM(K12:K18)</f>
        <v>42000</v>
      </c>
      <c r="L19" s="148">
        <f>SUM(L12:L18)</f>
        <v>66537</v>
      </c>
      <c r="M19" s="168">
        <f t="shared" si="1"/>
        <v>0.584</v>
      </c>
    </row>
    <row r="20" spans="1:13" ht="12" customHeight="1">
      <c r="A20" s="162" t="s">
        <v>362</v>
      </c>
      <c r="D20" s="148">
        <f>SP1000P630700800900CY</f>
        <v>0</v>
      </c>
      <c r="E20" s="148">
        <f>SP1000P630700800900</f>
        <v>0</v>
      </c>
      <c r="F20" s="165" t="str">
        <f t="shared" si="0"/>
        <v> </v>
      </c>
      <c r="H20" s="146"/>
      <c r="I20" s="146"/>
      <c r="K20" s="218"/>
      <c r="L20" s="218"/>
      <c r="M20" s="219"/>
    </row>
    <row r="21" spans="1:13" ht="12" customHeight="1">
      <c r="A21" s="167"/>
      <c r="B21" s="147" t="s">
        <v>483</v>
      </c>
      <c r="C21" s="151"/>
      <c r="D21" s="148">
        <f>SUM(D6:D20)</f>
        <v>2381336</v>
      </c>
      <c r="E21" s="148">
        <f>SUM(E6:E20)</f>
        <v>5392342</v>
      </c>
      <c r="F21" s="165">
        <f t="shared" si="0"/>
        <v>1.264</v>
      </c>
      <c r="H21" s="591" t="s">
        <v>495</v>
      </c>
      <c r="I21" s="592"/>
      <c r="J21" s="592"/>
      <c r="K21" s="592"/>
      <c r="L21" s="593"/>
      <c r="M21" s="219"/>
    </row>
    <row r="22" spans="1:13" ht="12" customHeight="1">
      <c r="A22" s="162" t="s">
        <v>313</v>
      </c>
      <c r="D22" s="150"/>
      <c r="E22" s="171"/>
      <c r="F22" s="150"/>
      <c r="H22" s="162"/>
      <c r="J22" s="622" t="s">
        <v>346</v>
      </c>
      <c r="K22" s="623"/>
      <c r="L22" s="163" t="s">
        <v>348</v>
      </c>
      <c r="M22" s="219"/>
    </row>
    <row r="23" spans="1:13" ht="12" customHeight="1">
      <c r="A23" s="162"/>
      <c r="B23" s="145" t="s">
        <v>307</v>
      </c>
      <c r="D23" s="152">
        <f>SP1000P200F1000CY</f>
        <v>7385</v>
      </c>
      <c r="E23" s="183">
        <f>SP1000P200F1000</f>
        <v>0</v>
      </c>
      <c r="F23" s="166">
        <f>IF(D23=0," ",(E23-D23)/D23)</f>
        <v>-1</v>
      </c>
      <c r="H23" s="162"/>
      <c r="J23" s="157" t="s">
        <v>528</v>
      </c>
      <c r="K23" s="157" t="s">
        <v>340</v>
      </c>
      <c r="L23" s="163" t="s">
        <v>349</v>
      </c>
      <c r="M23" s="219"/>
    </row>
    <row r="24" spans="1:13" ht="12" customHeight="1">
      <c r="A24" s="162"/>
      <c r="B24" s="145" t="s">
        <v>308</v>
      </c>
      <c r="D24" s="150"/>
      <c r="E24" s="150"/>
      <c r="F24" s="169"/>
      <c r="H24" s="176"/>
      <c r="J24" s="508">
        <v>2019</v>
      </c>
      <c r="K24" s="508">
        <v>2020</v>
      </c>
      <c r="L24" s="164" t="s">
        <v>350</v>
      </c>
      <c r="M24" s="219"/>
    </row>
    <row r="25" spans="1:13" ht="12" customHeight="1">
      <c r="A25" s="162"/>
      <c r="C25" s="145" t="s">
        <v>476</v>
      </c>
      <c r="D25" s="149">
        <f>SP1000P200F2100CY</f>
        <v>0</v>
      </c>
      <c r="E25" s="149">
        <f>SP1000P200F2100</f>
        <v>0</v>
      </c>
      <c r="F25" s="166" t="str">
        <f aca="true" t="shared" si="2" ref="F25:F41">IF(D25=0," ",(E25-D25)/D25)</f>
        <v> </v>
      </c>
      <c r="H25" s="170" t="s">
        <v>491</v>
      </c>
      <c r="I25" s="153"/>
      <c r="J25" s="149">
        <f>SP1000TotalCY</f>
        <v>2388721</v>
      </c>
      <c r="K25" s="149">
        <f>SP1000Total</f>
        <v>5392342</v>
      </c>
      <c r="L25" s="168">
        <f>IF(J25=0," ",(K25-J25)/J25)</f>
        <v>1.257</v>
      </c>
      <c r="M25" s="219"/>
    </row>
    <row r="26" spans="1:13" ht="12" customHeight="1">
      <c r="A26" s="162"/>
      <c r="C26" s="145" t="s">
        <v>477</v>
      </c>
      <c r="D26" s="149">
        <f>SP1000P200F2200CY</f>
        <v>0</v>
      </c>
      <c r="E26" s="149">
        <f>SP1000P200F2200</f>
        <v>0</v>
      </c>
      <c r="F26" s="169" t="str">
        <f t="shared" si="2"/>
        <v> </v>
      </c>
      <c r="H26" s="170" t="s">
        <v>488</v>
      </c>
      <c r="I26" s="153"/>
      <c r="J26" s="148">
        <f>SP1000ClassSiteProjCY</f>
        <v>218640</v>
      </c>
      <c r="K26" s="148">
        <f>SP1000ClassSiteProj</f>
        <v>423510</v>
      </c>
      <c r="L26" s="168">
        <f aca="true" t="shared" si="3" ref="L26:L33">IF(J26=0," ",(K26-J26)/J26)</f>
        <v>0.937</v>
      </c>
      <c r="M26" s="219"/>
    </row>
    <row r="27" spans="1:13" ht="12" customHeight="1">
      <c r="A27" s="162"/>
      <c r="C27" s="145" t="s">
        <v>478</v>
      </c>
      <c r="D27" s="149">
        <f>SP1000P200F2300CY</f>
        <v>0</v>
      </c>
      <c r="E27" s="149">
        <f>SP1000P200F2300</f>
        <v>0</v>
      </c>
      <c r="F27" s="165" t="str">
        <f t="shared" si="2"/>
        <v> </v>
      </c>
      <c r="H27" s="170" t="s">
        <v>497</v>
      </c>
      <c r="I27" s="153"/>
      <c r="J27" s="148">
        <f>SP1000InstrImpProjCY</f>
        <v>15200</v>
      </c>
      <c r="K27" s="148">
        <f>SP1000InstrImpProj</f>
        <v>34000</v>
      </c>
      <c r="L27" s="168">
        <f t="shared" si="3"/>
        <v>1.237</v>
      </c>
      <c r="M27" s="219"/>
    </row>
    <row r="28" spans="1:13" ht="12" customHeight="1">
      <c r="A28" s="162"/>
      <c r="C28" s="145" t="s">
        <v>479</v>
      </c>
      <c r="D28" s="149">
        <f>SP1000P200F2400CY</f>
        <v>0</v>
      </c>
      <c r="E28" s="149">
        <f>SP1000P200F2400</f>
        <v>0</v>
      </c>
      <c r="F28" s="165" t="str">
        <f t="shared" si="2"/>
        <v> </v>
      </c>
      <c r="H28" s="105" t="s">
        <v>233</v>
      </c>
      <c r="I28" s="153"/>
      <c r="J28" s="148">
        <f>SP1000StruEngImmProjCY</f>
        <v>0</v>
      </c>
      <c r="K28" s="148">
        <f>SP1000StruEngImmProj</f>
        <v>0</v>
      </c>
      <c r="L28" s="168" t="str">
        <f t="shared" si="3"/>
        <v> </v>
      </c>
      <c r="M28" s="219"/>
    </row>
    <row r="29" spans="1:13" ht="12" customHeight="1">
      <c r="A29" s="162"/>
      <c r="C29" s="145" t="s">
        <v>480</v>
      </c>
      <c r="D29" s="149">
        <f>SP1000P200F2500CY</f>
        <v>0</v>
      </c>
      <c r="E29" s="149">
        <f>SP1000P200F2500</f>
        <v>0</v>
      </c>
      <c r="F29" s="165" t="str">
        <f t="shared" si="2"/>
        <v> </v>
      </c>
      <c r="H29" s="170" t="s">
        <v>431</v>
      </c>
      <c r="I29" s="153"/>
      <c r="J29" s="148">
        <f>SP1000CompInstrProjCY</f>
        <v>0</v>
      </c>
      <c r="K29" s="148">
        <f>SP1000CompInstrProj</f>
        <v>0</v>
      </c>
      <c r="L29" s="168" t="str">
        <f t="shared" si="3"/>
        <v> </v>
      </c>
      <c r="M29" s="219"/>
    </row>
    <row r="30" spans="1:13" ht="12" customHeight="1">
      <c r="A30" s="162"/>
      <c r="C30" s="145" t="s">
        <v>481</v>
      </c>
      <c r="D30" s="149">
        <f>SP1000P200F2600CY</f>
        <v>0</v>
      </c>
      <c r="E30" s="149">
        <f>SP1000P200F2600</f>
        <v>0</v>
      </c>
      <c r="F30" s="165" t="str">
        <f t="shared" si="2"/>
        <v> </v>
      </c>
      <c r="H30" s="170" t="s">
        <v>492</v>
      </c>
      <c r="I30" s="153"/>
      <c r="J30" s="148">
        <f>TotalFederalProjectsCY</f>
        <v>73077</v>
      </c>
      <c r="K30" s="148">
        <f>TotalFederalProjects</f>
        <v>115648</v>
      </c>
      <c r="L30" s="168">
        <f t="shared" si="3"/>
        <v>0.583</v>
      </c>
      <c r="M30" s="219"/>
    </row>
    <row r="31" spans="1:13" ht="12" customHeight="1">
      <c r="A31" s="162"/>
      <c r="C31" s="145" t="s">
        <v>482</v>
      </c>
      <c r="D31" s="149">
        <f>SP1000P200F2900CY</f>
        <v>0</v>
      </c>
      <c r="E31" s="149">
        <f>SP1000P200F2900</f>
        <v>0</v>
      </c>
      <c r="F31" s="165" t="str">
        <f t="shared" si="2"/>
        <v> </v>
      </c>
      <c r="H31" s="170" t="s">
        <v>493</v>
      </c>
      <c r="I31" s="153"/>
      <c r="J31" s="148">
        <f>TotalStateProjectsCY</f>
        <v>0</v>
      </c>
      <c r="K31" s="148">
        <f>TotalStateProjects</f>
        <v>0</v>
      </c>
      <c r="L31" s="168" t="str">
        <f t="shared" si="3"/>
        <v> </v>
      </c>
      <c r="M31" s="219"/>
    </row>
    <row r="32" spans="1:13" ht="12" customHeight="1">
      <c r="A32" s="162"/>
      <c r="B32" s="145" t="s">
        <v>311</v>
      </c>
      <c r="D32" s="149">
        <f>SP1000P200F3000CY</f>
        <v>0</v>
      </c>
      <c r="E32" s="149">
        <f>SP1000P200F3000</f>
        <v>0</v>
      </c>
      <c r="F32" s="165" t="str">
        <f t="shared" si="2"/>
        <v> </v>
      </c>
      <c r="H32" s="170" t="s">
        <v>494</v>
      </c>
      <c r="I32" s="153"/>
      <c r="J32" s="148">
        <f>TotalCapitalAcquisitionsCY</f>
        <v>6000</v>
      </c>
      <c r="K32" s="148">
        <f>TotalCapitalAcquisitions</f>
        <v>0</v>
      </c>
      <c r="L32" s="168">
        <f t="shared" si="3"/>
        <v>-1</v>
      </c>
      <c r="M32" s="219"/>
    </row>
    <row r="33" spans="1:12" ht="12" customHeight="1">
      <c r="A33" s="162"/>
      <c r="B33" s="145" t="s">
        <v>435</v>
      </c>
      <c r="D33" s="149">
        <f>SP1000P200F4000CY</f>
        <v>0</v>
      </c>
      <c r="E33" s="149">
        <f>SP1000P200F4000</f>
        <v>0</v>
      </c>
      <c r="F33" s="165" t="str">
        <f t="shared" si="2"/>
        <v> </v>
      </c>
      <c r="H33" s="170" t="s">
        <v>489</v>
      </c>
      <c r="I33" s="153"/>
      <c r="J33" s="148">
        <f>SUM(J25:J32)</f>
        <v>2701638</v>
      </c>
      <c r="K33" s="148">
        <f>SUM(K25:K32)</f>
        <v>5965500</v>
      </c>
      <c r="L33" s="168">
        <f t="shared" si="3"/>
        <v>1.208</v>
      </c>
    </row>
    <row r="34" spans="1:6" ht="12" customHeight="1">
      <c r="A34" s="162"/>
      <c r="B34" s="145" t="s">
        <v>312</v>
      </c>
      <c r="D34" s="149">
        <f>SP1000P200F5000CY</f>
        <v>0</v>
      </c>
      <c r="E34" s="149">
        <f>SP1000P200F5000</f>
        <v>0</v>
      </c>
      <c r="F34" s="165" t="str">
        <f t="shared" si="2"/>
        <v> </v>
      </c>
    </row>
    <row r="35" spans="1:14" ht="12" customHeight="1">
      <c r="A35" s="162"/>
      <c r="B35" s="145" t="s">
        <v>484</v>
      </c>
      <c r="C35" s="178"/>
      <c r="D35" s="158">
        <f>SUM(D23:D34)</f>
        <v>7385</v>
      </c>
      <c r="E35" s="158">
        <f>SUM(E23:E34)</f>
        <v>0</v>
      </c>
      <c r="F35" s="165">
        <f t="shared" si="2"/>
        <v>-1</v>
      </c>
      <c r="H35" s="594" t="s">
        <v>57</v>
      </c>
      <c r="I35" s="594"/>
      <c r="J35" s="594"/>
      <c r="K35" s="594"/>
      <c r="L35" s="594"/>
      <c r="M35" s="619">
        <f>IF(L37&lt;1,"Enter Average Salary on the Budget Cover","")</f>
      </c>
      <c r="N35" s="492"/>
    </row>
    <row r="36" spans="1:14" ht="0.75" customHeight="1">
      <c r="A36" s="167" t="s">
        <v>485</v>
      </c>
      <c r="B36" s="147"/>
      <c r="C36" s="151"/>
      <c r="D36" s="149"/>
      <c r="E36" s="149"/>
      <c r="F36" s="166"/>
      <c r="J36" s="229"/>
      <c r="K36" s="229"/>
      <c r="L36" s="229"/>
      <c r="M36" s="619"/>
      <c r="N36" s="492"/>
    </row>
    <row r="37" spans="1:14" ht="12" customHeight="1">
      <c r="A37" s="170" t="s">
        <v>314</v>
      </c>
      <c r="B37" s="153"/>
      <c r="C37" s="154"/>
      <c r="D37" s="148">
        <f>SP1000P400CY</f>
        <v>0</v>
      </c>
      <c r="E37" s="148">
        <f>SP1000P400</f>
        <v>0</v>
      </c>
      <c r="F37" s="168" t="str">
        <f t="shared" si="2"/>
        <v> </v>
      </c>
      <c r="H37" s="620" t="s">
        <v>234</v>
      </c>
      <c r="I37" s="620"/>
      <c r="J37" s="620"/>
      <c r="K37" s="620"/>
      <c r="L37" s="245">
        <f>BudgetYearSalary</f>
        <v>73960</v>
      </c>
      <c r="M37" s="619"/>
      <c r="N37" s="492"/>
    </row>
    <row r="38" spans="1:14" ht="12" customHeight="1">
      <c r="A38" s="170" t="s">
        <v>315</v>
      </c>
      <c r="B38" s="153"/>
      <c r="C38" s="154"/>
      <c r="D38" s="148">
        <f>SP1000P530CY</f>
        <v>0</v>
      </c>
      <c r="E38" s="148">
        <f>SP1000P530</f>
        <v>0</v>
      </c>
      <c r="F38" s="168" t="str">
        <f t="shared" si="2"/>
        <v> </v>
      </c>
      <c r="H38" s="620" t="s">
        <v>235</v>
      </c>
      <c r="I38" s="620"/>
      <c r="J38" s="620"/>
      <c r="K38" s="620"/>
      <c r="L38" s="245">
        <f>PriorYearSalary</f>
        <v>51017</v>
      </c>
      <c r="M38" s="619"/>
      <c r="N38" s="492"/>
    </row>
    <row r="39" spans="1:14" ht="12" customHeight="1">
      <c r="A39" s="170" t="s">
        <v>486</v>
      </c>
      <c r="B39" s="153"/>
      <c r="C39" s="154"/>
      <c r="D39" s="148">
        <f>SP1000P540CY</f>
        <v>0</v>
      </c>
      <c r="E39" s="148">
        <f>SP1000P540</f>
        <v>0</v>
      </c>
      <c r="F39" s="168" t="str">
        <f t="shared" si="2"/>
        <v> </v>
      </c>
      <c r="H39" s="620" t="s">
        <v>236</v>
      </c>
      <c r="I39" s="620"/>
      <c r="J39" s="620"/>
      <c r="K39" s="620"/>
      <c r="L39" s="245">
        <f>SalaryIncreaseFromPriorYear</f>
        <v>22943</v>
      </c>
      <c r="M39" s="619"/>
      <c r="N39" s="492"/>
    </row>
    <row r="40" spans="1:14" ht="12" customHeight="1">
      <c r="A40" s="167" t="s">
        <v>498</v>
      </c>
      <c r="B40" s="147"/>
      <c r="C40" s="151"/>
      <c r="D40" s="148">
        <f>SP1000P550CY</f>
        <v>0</v>
      </c>
      <c r="E40" s="148">
        <f>SP1000P550</f>
        <v>0</v>
      </c>
      <c r="F40" s="168" t="str">
        <f t="shared" si="2"/>
        <v> </v>
      </c>
      <c r="H40" s="621" t="s">
        <v>12</v>
      </c>
      <c r="I40" s="621"/>
      <c r="J40" s="621"/>
      <c r="K40" s="621"/>
      <c r="L40" s="250">
        <f>SalaryPercentageIncrease</f>
        <v>0.45</v>
      </c>
      <c r="M40" s="619"/>
      <c r="N40" s="492"/>
    </row>
    <row r="41" spans="1:13" ht="12" customHeight="1">
      <c r="A41" s="167"/>
      <c r="B41" s="147"/>
      <c r="C41" s="151" t="s">
        <v>487</v>
      </c>
      <c r="D41" s="149">
        <f>SUM(D35:D40)+D21</f>
        <v>2388721</v>
      </c>
      <c r="E41" s="149">
        <f>SUM(E35:E40)+E21</f>
        <v>5392342</v>
      </c>
      <c r="F41" s="168">
        <f t="shared" si="2"/>
        <v>1.257</v>
      </c>
      <c r="H41" s="610" t="str">
        <f>IF(AverageSalaryCalculationComment&lt;&gt;"",AverageSalaryCalculationComment,"")</f>
        <v>Comments on average salary calculation (optional):</v>
      </c>
      <c r="I41" s="611"/>
      <c r="J41" s="611"/>
      <c r="K41" s="611"/>
      <c r="L41" s="612"/>
      <c r="M41" s="619"/>
    </row>
    <row r="42" spans="4:13" ht="12" customHeight="1">
      <c r="D42" s="218"/>
      <c r="E42" s="218"/>
      <c r="F42" s="219"/>
      <c r="H42" s="613"/>
      <c r="I42" s="614"/>
      <c r="J42" s="614"/>
      <c r="K42" s="614"/>
      <c r="L42" s="615"/>
      <c r="M42" s="619"/>
    </row>
    <row r="43" spans="8:13" ht="12" customHeight="1">
      <c r="H43" s="613"/>
      <c r="I43" s="614"/>
      <c r="J43" s="614"/>
      <c r="K43" s="614"/>
      <c r="L43" s="615"/>
      <c r="M43" s="619"/>
    </row>
    <row r="44" spans="8:13" ht="12" customHeight="1">
      <c r="H44" s="613"/>
      <c r="I44" s="614"/>
      <c r="J44" s="614"/>
      <c r="K44" s="614"/>
      <c r="L44" s="615"/>
      <c r="M44" s="619"/>
    </row>
    <row r="45" spans="8:13" ht="12" customHeight="1">
      <c r="H45" s="616"/>
      <c r="I45" s="617"/>
      <c r="J45" s="617"/>
      <c r="K45" s="617"/>
      <c r="L45" s="618"/>
      <c r="M45" s="619"/>
    </row>
    <row r="46" spans="8:13" ht="12" customHeight="1">
      <c r="H46" s="510" t="s">
        <v>199</v>
      </c>
      <c r="I46" s="511"/>
      <c r="J46" s="511"/>
      <c r="K46" s="511"/>
      <c r="L46" s="512">
        <v>49440</v>
      </c>
      <c r="M46" s="493"/>
    </row>
    <row r="47" spans="8:13" ht="12" customHeight="1">
      <c r="H47" s="510" t="s">
        <v>200</v>
      </c>
      <c r="I47" s="511"/>
      <c r="J47" s="511"/>
      <c r="K47" s="511"/>
      <c r="L47" s="513">
        <f>IncreaseSinceFY18</f>
        <v>0.496</v>
      </c>
      <c r="M47" s="493"/>
    </row>
    <row r="48" ht="12.75" customHeight="1"/>
    <row r="49" ht="12.75" customHeight="1"/>
    <row r="50" ht="12.75" customHeight="1"/>
    <row r="51" ht="12.75" customHeight="1"/>
    <row r="52" ht="12.75" customHeight="1"/>
    <row r="53" ht="12.75" customHeight="1">
      <c r="H53" s="155"/>
    </row>
    <row r="54" ht="12.75" customHeight="1"/>
    <row r="55" ht="12.75" customHeight="1"/>
  </sheetData>
  <sheetProtection sheet="1"/>
  <mergeCells count="14">
    <mergeCell ref="H41:L45"/>
    <mergeCell ref="M35:M45"/>
    <mergeCell ref="H38:K38"/>
    <mergeCell ref="H39:K39"/>
    <mergeCell ref="H40:K40"/>
    <mergeCell ref="J22:K22"/>
    <mergeCell ref="H37:K37"/>
    <mergeCell ref="H21:L21"/>
    <mergeCell ref="H35:L35"/>
    <mergeCell ref="H19:J19"/>
    <mergeCell ref="A1:J1"/>
    <mergeCell ref="H3:M7"/>
    <mergeCell ref="D3:E3"/>
    <mergeCell ref="K9:L9"/>
  </mergeCells>
  <printOptions horizontalCentered="1" verticalCentered="1"/>
  <pageMargins left="0.75" right="0.5" top="0.25" bottom="0.25" header="0" footer="0"/>
  <pageSetup fitToHeight="1" fitToWidth="1" horizontalDpi="600" verticalDpi="600" orientation="landscape" scale="76" r:id="rId2"/>
  <headerFooter>
    <oddFooter>&amp;L&amp;"Arial,Bold"Rev. 5/19 Arizona Department of Education and Auditor General&amp;R&amp;"Arial,Bold"Budget Summary</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C78"/>
  <sheetViews>
    <sheetView showGridLines="0" zoomScale="90" zoomScaleNormal="90" zoomScaleSheetLayoutView="100" workbookViewId="0" topLeftCell="A60">
      <selection activeCell="N77" sqref="N77"/>
    </sheetView>
  </sheetViews>
  <sheetFormatPr defaultColWidth="9.140625" defaultRowHeight="12.75"/>
  <cols>
    <col min="1" max="2" width="3.421875" style="85" customWidth="1"/>
    <col min="3" max="3" width="5.421875" style="85" customWidth="1"/>
    <col min="4" max="4" width="6.421875" style="85" customWidth="1"/>
    <col min="5" max="5" width="31.140625" style="85" customWidth="1"/>
    <col min="6" max="6" width="1.57421875" style="85" customWidth="1"/>
    <col min="7" max="7" width="12.57421875" style="85" customWidth="1"/>
    <col min="8" max="8" width="1.57421875" style="85" customWidth="1"/>
    <col min="9" max="10" width="12.57421875" style="85" customWidth="1"/>
    <col min="11" max="11" width="1.57421875" style="85" customWidth="1"/>
    <col min="12" max="12" width="10.7109375" style="85" customWidth="1"/>
    <col min="13" max="15" width="12.57421875" style="85" customWidth="1"/>
    <col min="16" max="19" width="10.7109375" style="85" customWidth="1"/>
    <col min="20" max="16384" width="9.140625" style="85" customWidth="1"/>
  </cols>
  <sheetData>
    <row r="1" spans="1:16" ht="12.75">
      <c r="A1" s="286" t="s">
        <v>285</v>
      </c>
      <c r="B1" s="286"/>
      <c r="C1" s="286"/>
      <c r="D1" s="286"/>
      <c r="E1" s="475" t="str">
        <f>Cover!D1</f>
        <v>NORTH STAR CHARTER SCHOOL, INC.</v>
      </c>
      <c r="F1" s="283"/>
      <c r="G1" s="107"/>
      <c r="I1" s="107"/>
      <c r="K1" s="281" t="s">
        <v>286</v>
      </c>
      <c r="L1" s="393" t="str">
        <f>Cover!M1</f>
        <v>MARICOPA</v>
      </c>
      <c r="M1" s="392"/>
      <c r="N1" s="282"/>
      <c r="O1" s="281" t="s">
        <v>374</v>
      </c>
      <c r="P1" s="386" t="str">
        <f>CTD</f>
        <v>078945000</v>
      </c>
    </row>
    <row r="5" spans="1:29" ht="15.75">
      <c r="A5" s="451" t="s">
        <v>179</v>
      </c>
      <c r="C5" s="276"/>
      <c r="D5" s="274"/>
      <c r="E5" s="273"/>
      <c r="F5" s="273"/>
      <c r="Q5" s="553"/>
      <c r="R5" s="553"/>
      <c r="S5" s="553"/>
      <c r="T5" s="553"/>
      <c r="U5" s="553"/>
      <c r="V5" s="553"/>
      <c r="W5" s="553"/>
      <c r="X5" s="553"/>
      <c r="Y5" s="553"/>
      <c r="Z5" s="553"/>
      <c r="AA5" s="553"/>
      <c r="AB5" s="553"/>
      <c r="AC5" s="553"/>
    </row>
    <row r="7" spans="1:15" s="447" customFormat="1" ht="46.5" customHeight="1">
      <c r="A7" s="465">
        <f>IF(B8="X","X",IF(B9="x","x",IF(B10="X","X",IF(B11="X","X",""))))</f>
      </c>
      <c r="B7" s="625" t="s">
        <v>178</v>
      </c>
      <c r="C7" s="625"/>
      <c r="D7" s="625"/>
      <c r="E7" s="625"/>
      <c r="F7" s="625"/>
      <c r="G7" s="625"/>
      <c r="H7" s="625"/>
      <c r="I7" s="625"/>
      <c r="J7" s="625"/>
      <c r="K7" s="625"/>
      <c r="L7" s="625"/>
      <c r="M7" s="625"/>
      <c r="N7" s="625"/>
      <c r="O7" s="446"/>
    </row>
    <row r="8" spans="1:15" ht="27" customHeight="1">
      <c r="A8" s="274"/>
      <c r="B8" s="337"/>
      <c r="D8" s="659" t="s">
        <v>113</v>
      </c>
      <c r="E8" s="659"/>
      <c r="F8" s="659"/>
      <c r="G8" s="659"/>
      <c r="H8" s="659"/>
      <c r="I8" s="659"/>
      <c r="J8" s="659"/>
      <c r="K8" s="659"/>
      <c r="L8" s="659"/>
      <c r="M8" s="659"/>
      <c r="N8" s="659"/>
      <c r="O8" s="277"/>
    </row>
    <row r="9" spans="1:15" ht="27.75" customHeight="1" thickBot="1">
      <c r="A9" s="274"/>
      <c r="B9" s="338"/>
      <c r="D9" s="659" t="s">
        <v>114</v>
      </c>
      <c r="E9" s="659"/>
      <c r="F9" s="659"/>
      <c r="G9" s="659"/>
      <c r="H9" s="659"/>
      <c r="I9" s="659"/>
      <c r="J9" s="659"/>
      <c r="K9" s="659"/>
      <c r="L9" s="659"/>
      <c r="M9" s="659"/>
      <c r="N9" s="659"/>
      <c r="O9" s="277"/>
    </row>
    <row r="10" spans="1:15" ht="27.75" customHeight="1" thickBot="1">
      <c r="A10" s="274"/>
      <c r="B10" s="339"/>
      <c r="D10" s="659" t="s">
        <v>115</v>
      </c>
      <c r="E10" s="659"/>
      <c r="F10" s="659"/>
      <c r="G10" s="659"/>
      <c r="H10" s="659"/>
      <c r="I10" s="659"/>
      <c r="J10" s="659"/>
      <c r="K10" s="659"/>
      <c r="L10" s="659"/>
      <c r="M10" s="659"/>
      <c r="N10" s="659"/>
      <c r="O10" s="277"/>
    </row>
    <row r="11" spans="1:15" ht="27.75" customHeight="1" thickBot="1">
      <c r="A11" s="274"/>
      <c r="B11" s="339"/>
      <c r="D11" s="290" t="s">
        <v>116</v>
      </c>
      <c r="E11" s="118"/>
      <c r="F11" s="118"/>
      <c r="G11" s="290"/>
      <c r="H11" s="290"/>
      <c r="I11" s="290"/>
      <c r="J11" s="340"/>
      <c r="K11" s="340"/>
      <c r="L11" s="340"/>
      <c r="M11" s="341"/>
      <c r="N11" s="341"/>
      <c r="O11" s="341"/>
    </row>
    <row r="12" spans="1:15" ht="12.75">
      <c r="A12" s="274"/>
      <c r="B12" s="274"/>
      <c r="C12" s="342"/>
      <c r="D12" s="342"/>
      <c r="E12" s="342"/>
      <c r="F12" s="342"/>
      <c r="G12" s="342"/>
      <c r="H12" s="342"/>
      <c r="I12" s="342"/>
      <c r="J12" s="342"/>
      <c r="K12" s="342"/>
      <c r="L12" s="342"/>
      <c r="M12" s="342"/>
      <c r="N12" s="342"/>
      <c r="O12" s="342"/>
    </row>
    <row r="13" spans="2:5" ht="12.75">
      <c r="B13" s="273" t="s">
        <v>168</v>
      </c>
      <c r="C13" s="273"/>
      <c r="D13" s="273"/>
      <c r="E13" s="273"/>
    </row>
    <row r="14" spans="2:14" ht="80.25" customHeight="1">
      <c r="B14" s="626" t="s">
        <v>237</v>
      </c>
      <c r="C14" s="626"/>
      <c r="D14" s="626"/>
      <c r="E14" s="626"/>
      <c r="F14" s="626"/>
      <c r="G14" s="626"/>
      <c r="H14" s="626"/>
      <c r="I14" s="626"/>
      <c r="J14" s="626"/>
      <c r="K14" s="626"/>
      <c r="L14" s="626"/>
      <c r="M14" s="626"/>
      <c r="N14" s="626"/>
    </row>
    <row r="15" spans="2:14" ht="13.5" customHeight="1">
      <c r="B15" s="453"/>
      <c r="C15" s="453"/>
      <c r="D15" s="453"/>
      <c r="E15" s="453"/>
      <c r="F15" s="453"/>
      <c r="G15" s="453"/>
      <c r="H15" s="453"/>
      <c r="I15" s="453"/>
      <c r="J15" s="453"/>
      <c r="K15" s="453"/>
      <c r="L15" s="453"/>
      <c r="M15" s="453"/>
      <c r="N15" s="453"/>
    </row>
    <row r="16" spans="2:13" ht="12.75">
      <c r="B16" s="650" t="s">
        <v>117</v>
      </c>
      <c r="C16" s="650"/>
      <c r="D16" s="650"/>
      <c r="E16" s="650"/>
      <c r="F16" s="646" t="s">
        <v>62</v>
      </c>
      <c r="G16" s="647"/>
      <c r="H16" s="646" t="s">
        <v>63</v>
      </c>
      <c r="I16" s="655"/>
      <c r="J16" s="647"/>
      <c r="K16" s="643" t="s">
        <v>64</v>
      </c>
      <c r="L16" s="644"/>
      <c r="M16" s="645"/>
    </row>
    <row r="17" spans="2:14" ht="12.75">
      <c r="B17" s="663" t="s">
        <v>76</v>
      </c>
      <c r="C17" s="664"/>
      <c r="D17" s="664"/>
      <c r="E17" s="665"/>
      <c r="F17" s="642"/>
      <c r="G17" s="637"/>
      <c r="H17" s="480"/>
      <c r="I17" s="636"/>
      <c r="J17" s="637"/>
      <c r="K17" s="343"/>
      <c r="L17" s="636">
        <v>800</v>
      </c>
      <c r="M17" s="637"/>
      <c r="N17" s="316"/>
    </row>
    <row r="18" spans="2:14" ht="12.75">
      <c r="B18" s="660" t="s">
        <v>118</v>
      </c>
      <c r="C18" s="661"/>
      <c r="D18" s="661"/>
      <c r="E18" s="662"/>
      <c r="F18" s="303"/>
      <c r="G18" s="304"/>
      <c r="H18" s="289" t="s">
        <v>74</v>
      </c>
      <c r="I18" s="638"/>
      <c r="J18" s="639"/>
      <c r="K18" s="297" t="s">
        <v>74</v>
      </c>
      <c r="L18" s="629"/>
      <c r="M18" s="630"/>
      <c r="N18" s="316"/>
    </row>
    <row r="19" spans="2:13" ht="12.75">
      <c r="B19" s="660" t="s">
        <v>119</v>
      </c>
      <c r="C19" s="661"/>
      <c r="D19" s="661"/>
      <c r="E19" s="662"/>
      <c r="F19" s="303"/>
      <c r="G19" s="304"/>
      <c r="H19" s="289" t="s">
        <v>74</v>
      </c>
      <c r="I19" s="638"/>
      <c r="J19" s="639"/>
      <c r="K19" s="297" t="s">
        <v>74</v>
      </c>
      <c r="L19" s="629"/>
      <c r="M19" s="630"/>
    </row>
    <row r="20" spans="2:13" ht="12.75">
      <c r="B20" s="656" t="s">
        <v>120</v>
      </c>
      <c r="C20" s="657"/>
      <c r="D20" s="657"/>
      <c r="E20" s="658"/>
      <c r="F20" s="105" t="s">
        <v>70</v>
      </c>
      <c r="G20" s="351">
        <f>F17</f>
        <v>0</v>
      </c>
      <c r="H20" s="271" t="s">
        <v>70</v>
      </c>
      <c r="I20" s="651">
        <f>I17+I18+I19</f>
        <v>0</v>
      </c>
      <c r="J20" s="652"/>
      <c r="K20" s="105" t="s">
        <v>70</v>
      </c>
      <c r="L20" s="651">
        <f>L17+L18+L19</f>
        <v>800</v>
      </c>
      <c r="M20" s="652"/>
    </row>
    <row r="22" spans="2:13" ht="12.75">
      <c r="B22" s="273" t="s">
        <v>169</v>
      </c>
      <c r="C22"/>
      <c r="D22"/>
      <c r="E22"/>
      <c r="F22"/>
      <c r="G22"/>
      <c r="H22"/>
      <c r="I22"/>
      <c r="J22"/>
      <c r="K22"/>
      <c r="L22"/>
      <c r="M22"/>
    </row>
    <row r="23" spans="2:14" ht="26.25" customHeight="1">
      <c r="B23" s="626" t="s">
        <v>174</v>
      </c>
      <c r="C23" s="626"/>
      <c r="D23" s="626"/>
      <c r="E23" s="626"/>
      <c r="F23" s="626"/>
      <c r="G23" s="626"/>
      <c r="H23" s="626"/>
      <c r="I23" s="626"/>
      <c r="J23" s="626"/>
      <c r="K23" s="626"/>
      <c r="L23" s="626"/>
      <c r="M23" s="626"/>
      <c r="N23" s="626"/>
    </row>
    <row r="24" spans="2:13" ht="12.75">
      <c r="B24" s="448"/>
      <c r="C24" s="449"/>
      <c r="D24" s="449"/>
      <c r="E24" s="449"/>
      <c r="F24" s="449"/>
      <c r="G24" s="449"/>
      <c r="H24" s="449"/>
      <c r="I24" s="449"/>
      <c r="J24" s="449"/>
      <c r="K24" s="449"/>
      <c r="L24" s="449"/>
      <c r="M24" s="449"/>
    </row>
    <row r="25" spans="2:13" ht="12.75">
      <c r="B25" s="450" t="s">
        <v>117</v>
      </c>
      <c r="C25" s="450"/>
      <c r="D25" s="450"/>
      <c r="E25" s="450"/>
      <c r="F25" s="646" t="s">
        <v>62</v>
      </c>
      <c r="G25" s="647"/>
      <c r="H25" s="646" t="s">
        <v>63</v>
      </c>
      <c r="I25" s="655"/>
      <c r="J25" s="647"/>
      <c r="K25" s="643" t="s">
        <v>64</v>
      </c>
      <c r="L25" s="644"/>
      <c r="M25" s="645"/>
    </row>
    <row r="26" spans="2:16" ht="12.75">
      <c r="B26" s="271" t="s">
        <v>76</v>
      </c>
      <c r="C26" s="104"/>
      <c r="D26" s="352"/>
      <c r="F26" s="345"/>
      <c r="G26" s="481"/>
      <c r="I26" s="627"/>
      <c r="J26" s="628"/>
      <c r="K26" s="271"/>
      <c r="L26" s="627"/>
      <c r="M26" s="628"/>
      <c r="P26" s="107"/>
    </row>
    <row r="27" spans="2:13" ht="12.75">
      <c r="B27" s="105" t="s">
        <v>118</v>
      </c>
      <c r="C27" s="270"/>
      <c r="D27" s="356"/>
      <c r="E27" s="284"/>
      <c r="F27" s="305"/>
      <c r="G27" s="306"/>
      <c r="H27" s="270" t="s">
        <v>74</v>
      </c>
      <c r="I27" s="638"/>
      <c r="J27" s="639"/>
      <c r="K27" s="105" t="s">
        <v>74</v>
      </c>
      <c r="L27" s="629"/>
      <c r="M27" s="630"/>
    </row>
    <row r="28" spans="2:13" ht="12.75">
      <c r="B28" s="105" t="s">
        <v>119</v>
      </c>
      <c r="C28" s="270"/>
      <c r="D28" s="270"/>
      <c r="E28" s="285"/>
      <c r="F28" s="305"/>
      <c r="G28" s="306"/>
      <c r="H28" s="270" t="s">
        <v>74</v>
      </c>
      <c r="I28" s="638"/>
      <c r="J28" s="639"/>
      <c r="K28" s="105" t="s">
        <v>74</v>
      </c>
      <c r="L28" s="629"/>
      <c r="M28" s="630"/>
    </row>
    <row r="29" spans="2:13" ht="12.75">
      <c r="B29" s="271" t="s">
        <v>120</v>
      </c>
      <c r="C29" s="104"/>
      <c r="D29" s="352"/>
      <c r="E29" s="271"/>
      <c r="F29" s="271" t="s">
        <v>70</v>
      </c>
      <c r="G29" s="351">
        <f>G26</f>
        <v>0</v>
      </c>
      <c r="H29" s="105" t="s">
        <v>70</v>
      </c>
      <c r="I29" s="651">
        <f>I26+I27+I28</f>
        <v>0</v>
      </c>
      <c r="J29" s="652"/>
      <c r="K29" s="105" t="s">
        <v>70</v>
      </c>
      <c r="L29" s="648">
        <f>L26+L27+L28</f>
        <v>0</v>
      </c>
      <c r="M29" s="649"/>
    </row>
    <row r="30" ht="12.75">
      <c r="B30" s="293"/>
    </row>
    <row r="31" spans="1:11" ht="12.75">
      <c r="A31" s="358"/>
      <c r="B31" s="358"/>
      <c r="C31" s="295"/>
      <c r="D31" s="295"/>
      <c r="E31" s="294"/>
      <c r="F31" s="294"/>
      <c r="G31" s="295"/>
      <c r="H31" s="295"/>
      <c r="I31" s="359"/>
      <c r="K31" s="359"/>
    </row>
    <row r="32" spans="1:15" ht="15" customHeight="1">
      <c r="A32" s="452" t="s">
        <v>145</v>
      </c>
      <c r="C32" s="273"/>
      <c r="D32" s="273"/>
      <c r="E32" s="273"/>
      <c r="G32" s="322"/>
      <c r="H32" s="322"/>
      <c r="I32" s="322"/>
      <c r="J32" s="322"/>
      <c r="K32" s="322"/>
      <c r="L32" s="322"/>
      <c r="M32" s="322"/>
      <c r="N32" s="322"/>
      <c r="O32" s="322"/>
    </row>
    <row r="33" spans="1:15" ht="12.75" customHeight="1">
      <c r="A33" s="452"/>
      <c r="C33" s="273"/>
      <c r="D33" s="273"/>
      <c r="E33" s="273"/>
      <c r="G33" s="322"/>
      <c r="H33" s="322"/>
      <c r="I33" s="322"/>
      <c r="J33" s="322"/>
      <c r="K33" s="322"/>
      <c r="L33" s="322"/>
      <c r="M33" s="322"/>
      <c r="N33" s="322"/>
      <c r="O33" s="322"/>
    </row>
    <row r="34" spans="1:15" ht="12.75" customHeight="1">
      <c r="A34" s="452"/>
      <c r="B34" s="273" t="s">
        <v>79</v>
      </c>
      <c r="C34" s="273"/>
      <c r="D34" s="273"/>
      <c r="E34" s="273"/>
      <c r="G34" s="322"/>
      <c r="H34" s="322"/>
      <c r="I34" s="322"/>
      <c r="J34" s="322"/>
      <c r="K34" s="322"/>
      <c r="L34" s="322"/>
      <c r="M34" s="322"/>
      <c r="N34" s="322"/>
      <c r="O34" s="322"/>
    </row>
    <row r="35" spans="1:15" ht="134.25" customHeight="1">
      <c r="A35" s="273"/>
      <c r="B35" s="624" t="s">
        <v>268</v>
      </c>
      <c r="C35" s="624"/>
      <c r="D35" s="624"/>
      <c r="E35" s="624"/>
      <c r="F35" s="624"/>
      <c r="G35" s="624"/>
      <c r="H35" s="624"/>
      <c r="I35" s="624"/>
      <c r="J35" s="624"/>
      <c r="K35" s="624"/>
      <c r="L35" s="624"/>
      <c r="M35" s="624"/>
      <c r="N35" s="624"/>
      <c r="O35" s="322"/>
    </row>
    <row r="36" spans="1:15" ht="12.75" customHeight="1">
      <c r="A36" s="273"/>
      <c r="B36" s="445"/>
      <c r="C36" s="445"/>
      <c r="D36" s="445"/>
      <c r="E36" s="445"/>
      <c r="F36" s="445"/>
      <c r="G36" s="445"/>
      <c r="H36" s="445"/>
      <c r="I36" s="445"/>
      <c r="J36" s="445"/>
      <c r="K36" s="445"/>
      <c r="L36" s="445"/>
      <c r="M36" s="445"/>
      <c r="N36" s="445"/>
      <c r="O36" s="322"/>
    </row>
    <row r="37" spans="2:21" ht="51.75" customHeight="1">
      <c r="B37" s="454"/>
      <c r="C37" s="455"/>
      <c r="D37" s="455"/>
      <c r="E37" s="455"/>
      <c r="F37" s="291"/>
      <c r="G37" s="291"/>
      <c r="H37" s="291"/>
      <c r="I37" s="394" t="s">
        <v>76</v>
      </c>
      <c r="J37" s="394" t="s">
        <v>77</v>
      </c>
      <c r="K37" s="653" t="s">
        <v>78</v>
      </c>
      <c r="L37" s="654"/>
      <c r="M37" s="319"/>
      <c r="N37" s="291"/>
      <c r="O37" s="319"/>
      <c r="P37" s="319"/>
      <c r="Q37" s="291"/>
      <c r="R37" s="319"/>
      <c r="S37" s="319"/>
      <c r="U37" s="247"/>
    </row>
    <row r="38" spans="1:19" ht="12.75">
      <c r="A38" s="278"/>
      <c r="B38" s="278">
        <v>1</v>
      </c>
      <c r="C38" s="292" t="s">
        <v>80</v>
      </c>
      <c r="D38" s="291"/>
      <c r="E38" s="291"/>
      <c r="F38" s="291"/>
      <c r="G38" s="291"/>
      <c r="H38" s="291"/>
      <c r="I38" s="431"/>
      <c r="J38" s="430"/>
      <c r="K38" s="631"/>
      <c r="L38" s="632"/>
      <c r="M38" s="429"/>
      <c r="N38" s="323"/>
      <c r="O38" s="361"/>
      <c r="P38" s="429"/>
      <c r="Q38" s="291"/>
      <c r="R38" s="361"/>
      <c r="S38" s="429"/>
    </row>
    <row r="39" spans="1:19" ht="12.75">
      <c r="A39" s="278"/>
      <c r="B39" s="278">
        <v>2</v>
      </c>
      <c r="C39" s="292" t="s">
        <v>81</v>
      </c>
      <c r="D39" s="291"/>
      <c r="E39" s="291"/>
      <c r="F39" s="291"/>
      <c r="G39" s="291"/>
      <c r="H39" s="291"/>
      <c r="I39" s="431"/>
      <c r="J39" s="430"/>
      <c r="K39" s="631"/>
      <c r="L39" s="632"/>
      <c r="M39" s="429"/>
      <c r="N39" s="323"/>
      <c r="O39" s="361"/>
      <c r="P39" s="429"/>
      <c r="Q39" s="291"/>
      <c r="R39" s="361"/>
      <c r="S39" s="429"/>
    </row>
    <row r="40" spans="1:19" ht="12.75">
      <c r="A40" s="278"/>
      <c r="B40" s="278">
        <v>3</v>
      </c>
      <c r="C40" s="292" t="s">
        <v>82</v>
      </c>
      <c r="D40" s="291"/>
      <c r="E40" s="291"/>
      <c r="F40" s="291"/>
      <c r="G40" s="291"/>
      <c r="H40" s="291"/>
      <c r="I40" s="431"/>
      <c r="J40" s="430"/>
      <c r="K40" s="631"/>
      <c r="L40" s="632"/>
      <c r="M40" s="429"/>
      <c r="N40" s="323"/>
      <c r="O40" s="361"/>
      <c r="P40" s="429"/>
      <c r="Q40" s="291"/>
      <c r="R40" s="361"/>
      <c r="S40" s="429"/>
    </row>
    <row r="41" spans="1:19" ht="12.75">
      <c r="A41" s="278"/>
      <c r="B41" s="278">
        <v>4</v>
      </c>
      <c r="C41" s="292" t="s">
        <v>83</v>
      </c>
      <c r="D41" s="291"/>
      <c r="E41" s="291"/>
      <c r="F41" s="291"/>
      <c r="G41" s="291"/>
      <c r="H41" s="291"/>
      <c r="I41" s="431"/>
      <c r="J41" s="430"/>
      <c r="K41" s="631"/>
      <c r="L41" s="632"/>
      <c r="M41" s="429"/>
      <c r="N41" s="323"/>
      <c r="O41" s="361"/>
      <c r="P41" s="429"/>
      <c r="Q41" s="291"/>
      <c r="R41" s="361"/>
      <c r="S41" s="429"/>
    </row>
    <row r="42" spans="1:19" ht="12.75">
      <c r="A42" s="278"/>
      <c r="B42" s="278">
        <v>5</v>
      </c>
      <c r="C42" s="292" t="s">
        <v>208</v>
      </c>
      <c r="D42" s="291"/>
      <c r="E42" s="291"/>
      <c r="F42" s="291"/>
      <c r="G42" s="291"/>
      <c r="H42" s="291"/>
      <c r="I42" s="431"/>
      <c r="J42" s="430"/>
      <c r="K42" s="631"/>
      <c r="L42" s="632"/>
      <c r="M42" s="429"/>
      <c r="N42" s="323"/>
      <c r="O42" s="361"/>
      <c r="P42" s="429"/>
      <c r="Q42" s="291"/>
      <c r="R42" s="361"/>
      <c r="S42" s="429"/>
    </row>
    <row r="43" spans="1:19" ht="12.75">
      <c r="A43" s="278"/>
      <c r="B43" s="278">
        <v>6</v>
      </c>
      <c r="C43" s="292" t="s">
        <v>209</v>
      </c>
      <c r="D43" s="291"/>
      <c r="E43" s="291"/>
      <c r="F43" s="291"/>
      <c r="G43" s="291"/>
      <c r="H43" s="291"/>
      <c r="I43" s="431"/>
      <c r="J43" s="430"/>
      <c r="K43" s="631"/>
      <c r="L43" s="632"/>
      <c r="M43" s="429"/>
      <c r="N43" s="323"/>
      <c r="O43" s="361"/>
      <c r="P43" s="429"/>
      <c r="Q43" s="291"/>
      <c r="R43" s="361"/>
      <c r="S43" s="429"/>
    </row>
    <row r="44" spans="1:19" ht="12.75">
      <c r="A44" s="278"/>
      <c r="B44" s="278">
        <v>7</v>
      </c>
      <c r="C44" s="292" t="s">
        <v>84</v>
      </c>
      <c r="D44" s="291"/>
      <c r="E44" s="291"/>
      <c r="F44" s="291"/>
      <c r="G44" s="291"/>
      <c r="H44" s="291"/>
      <c r="I44" s="431"/>
      <c r="J44" s="430"/>
      <c r="K44" s="631"/>
      <c r="L44" s="632"/>
      <c r="M44" s="429"/>
      <c r="N44" s="323"/>
      <c r="O44" s="361"/>
      <c r="P44" s="429"/>
      <c r="Q44" s="291"/>
      <c r="R44" s="361"/>
      <c r="S44" s="429"/>
    </row>
    <row r="45" spans="1:19" ht="12.75">
      <c r="A45" s="278"/>
      <c r="B45" s="278">
        <v>8</v>
      </c>
      <c r="C45" s="292" t="s">
        <v>85</v>
      </c>
      <c r="D45" s="291"/>
      <c r="E45" s="291"/>
      <c r="F45" s="291"/>
      <c r="G45" s="291"/>
      <c r="H45" s="291"/>
      <c r="I45" s="431"/>
      <c r="J45" s="430"/>
      <c r="K45" s="631"/>
      <c r="L45" s="632"/>
      <c r="M45" s="429"/>
      <c r="N45" s="323"/>
      <c r="O45" s="361"/>
      <c r="P45" s="429"/>
      <c r="Q45" s="291"/>
      <c r="R45" s="361"/>
      <c r="S45" s="429"/>
    </row>
    <row r="46" spans="1:19" ht="12.75">
      <c r="A46" s="278"/>
      <c r="B46" s="278">
        <v>9</v>
      </c>
      <c r="C46" s="292" t="s">
        <v>86</v>
      </c>
      <c r="D46" s="291"/>
      <c r="E46" s="291"/>
      <c r="F46" s="291"/>
      <c r="G46" s="291"/>
      <c r="H46" s="291"/>
      <c r="I46" s="431"/>
      <c r="J46" s="430"/>
      <c r="K46" s="631"/>
      <c r="L46" s="632"/>
      <c r="M46" s="429"/>
      <c r="N46" s="323"/>
      <c r="O46" s="361"/>
      <c r="P46" s="429"/>
      <c r="Q46" s="291"/>
      <c r="R46" s="361"/>
      <c r="S46" s="429"/>
    </row>
    <row r="47" spans="1:19" ht="12.75">
      <c r="A47" s="278"/>
      <c r="B47" s="278">
        <v>10</v>
      </c>
      <c r="C47" s="292" t="s">
        <v>87</v>
      </c>
      <c r="D47" s="291"/>
      <c r="E47" s="291"/>
      <c r="F47" s="291"/>
      <c r="G47" s="291"/>
      <c r="H47" s="291"/>
      <c r="I47" s="431"/>
      <c r="J47" s="433"/>
      <c r="K47" s="633"/>
      <c r="L47" s="634"/>
      <c r="M47" s="429"/>
      <c r="N47" s="323"/>
      <c r="O47" s="361"/>
      <c r="P47" s="429"/>
      <c r="Q47" s="291"/>
      <c r="R47" s="361"/>
      <c r="S47" s="429"/>
    </row>
    <row r="48" spans="1:19" ht="12.75">
      <c r="A48" s="278"/>
      <c r="B48" s="278">
        <v>11</v>
      </c>
      <c r="C48" s="292" t="s">
        <v>210</v>
      </c>
      <c r="D48" s="291"/>
      <c r="E48" s="291"/>
      <c r="F48" s="291"/>
      <c r="G48" s="291"/>
      <c r="H48" s="291"/>
      <c r="I48" s="431"/>
      <c r="J48" s="430"/>
      <c r="K48" s="631"/>
      <c r="L48" s="632"/>
      <c r="M48" s="429"/>
      <c r="N48" s="323"/>
      <c r="O48" s="361"/>
      <c r="P48" s="429"/>
      <c r="Q48" s="291"/>
      <c r="R48" s="361"/>
      <c r="S48" s="429"/>
    </row>
    <row r="49" spans="1:19" ht="12.75">
      <c r="A49" s="278"/>
      <c r="B49" s="278">
        <v>12</v>
      </c>
      <c r="C49" s="292" t="s">
        <v>88</v>
      </c>
      <c r="D49" s="291"/>
      <c r="E49" s="291"/>
      <c r="F49" s="291"/>
      <c r="G49" s="291"/>
      <c r="H49" s="291"/>
      <c r="I49" s="431"/>
      <c r="J49" s="430"/>
      <c r="K49" s="631"/>
      <c r="L49" s="632"/>
      <c r="M49" s="429"/>
      <c r="N49" s="323"/>
      <c r="O49" s="361"/>
      <c r="P49" s="429"/>
      <c r="Q49" s="291"/>
      <c r="R49" s="361"/>
      <c r="S49" s="429"/>
    </row>
    <row r="50" spans="1:19" ht="12.75">
      <c r="A50" s="278"/>
      <c r="B50" s="278">
        <v>13</v>
      </c>
      <c r="C50" s="292" t="s">
        <v>89</v>
      </c>
      <c r="D50" s="291"/>
      <c r="E50" s="291"/>
      <c r="F50" s="291"/>
      <c r="G50" s="291"/>
      <c r="H50" s="291"/>
      <c r="I50" s="431"/>
      <c r="J50" s="430"/>
      <c r="K50" s="631"/>
      <c r="L50" s="632"/>
      <c r="M50" s="429"/>
      <c r="N50" s="323"/>
      <c r="O50" s="361"/>
      <c r="P50" s="429"/>
      <c r="Q50" s="291"/>
      <c r="R50" s="361"/>
      <c r="S50" s="429"/>
    </row>
    <row r="51" spans="1:19" ht="12.75">
      <c r="A51" s="278"/>
      <c r="B51" s="278">
        <v>14</v>
      </c>
      <c r="C51" s="292" t="s">
        <v>90</v>
      </c>
      <c r="D51" s="291"/>
      <c r="E51" s="291"/>
      <c r="F51" s="291"/>
      <c r="G51" s="291"/>
      <c r="H51" s="291"/>
      <c r="I51" s="431"/>
      <c r="J51" s="430"/>
      <c r="K51" s="631"/>
      <c r="L51" s="632"/>
      <c r="M51" s="429"/>
      <c r="N51" s="323"/>
      <c r="O51" s="361"/>
      <c r="P51" s="429"/>
      <c r="Q51" s="291"/>
      <c r="R51" s="361"/>
      <c r="S51" s="429"/>
    </row>
    <row r="52" spans="1:19" ht="12.75">
      <c r="A52" s="278"/>
      <c r="B52" s="278">
        <v>15</v>
      </c>
      <c r="C52" s="291" t="s">
        <v>171</v>
      </c>
      <c r="D52" s="291"/>
      <c r="E52" s="291"/>
      <c r="F52" s="291"/>
      <c r="G52" s="291"/>
      <c r="H52" s="291"/>
      <c r="I52" s="432">
        <f>SUM(I38:I51)</f>
        <v>0</v>
      </c>
      <c r="J52" s="424">
        <f>SUM(J38:J51)</f>
        <v>0</v>
      </c>
      <c r="K52" s="640">
        <f>SUM(K38:K51)</f>
        <v>0</v>
      </c>
      <c r="L52" s="641"/>
      <c r="M52" s="429"/>
      <c r="N52" s="323"/>
      <c r="O52" s="323"/>
      <c r="P52" s="429"/>
      <c r="Q52" s="291"/>
      <c r="R52" s="429"/>
      <c r="S52" s="429"/>
    </row>
    <row r="53" spans="1:19" ht="12.75">
      <c r="A53" s="278"/>
      <c r="B53" s="278" t="s">
        <v>201</v>
      </c>
      <c r="C53" s="291"/>
      <c r="D53" s="291"/>
      <c r="E53" s="291"/>
      <c r="F53" s="291"/>
      <c r="G53" s="291"/>
      <c r="H53" s="291"/>
      <c r="I53" s="494"/>
      <c r="J53" s="495"/>
      <c r="K53" s="496"/>
      <c r="L53" s="496"/>
      <c r="M53" s="429"/>
      <c r="N53" s="323"/>
      <c r="O53" s="323"/>
      <c r="P53" s="429"/>
      <c r="Q53" s="291"/>
      <c r="R53" s="429"/>
      <c r="S53" s="429"/>
    </row>
    <row r="54" spans="1:19" ht="14.25" customHeight="1">
      <c r="A54" s="278"/>
      <c r="B54" s="497" t="s">
        <v>205</v>
      </c>
      <c r="C54" s="292" t="s">
        <v>202</v>
      </c>
      <c r="D54" s="292"/>
      <c r="E54" s="292"/>
      <c r="F54" s="292"/>
      <c r="G54" s="292"/>
      <c r="H54" s="292"/>
      <c r="I54" s="498"/>
      <c r="J54" s="499"/>
      <c r="K54" s="500"/>
      <c r="L54" s="500"/>
      <c r="M54" s="501"/>
      <c r="N54" s="502"/>
      <c r="O54" s="323"/>
      <c r="P54" s="429"/>
      <c r="Q54" s="291"/>
      <c r="R54" s="429"/>
      <c r="S54" s="429"/>
    </row>
    <row r="55" spans="1:19" ht="14.25" customHeight="1">
      <c r="A55" s="278"/>
      <c r="B55" s="497" t="s">
        <v>206</v>
      </c>
      <c r="C55" s="292" t="s">
        <v>203</v>
      </c>
      <c r="D55" s="292"/>
      <c r="E55" s="292"/>
      <c r="F55" s="292"/>
      <c r="G55" s="292"/>
      <c r="H55" s="292"/>
      <c r="I55" s="498"/>
      <c r="J55" s="499"/>
      <c r="K55" s="500"/>
      <c r="L55" s="500"/>
      <c r="M55" s="501"/>
      <c r="N55" s="502"/>
      <c r="O55" s="323"/>
      <c r="P55" s="429"/>
      <c r="Q55" s="291"/>
      <c r="R55" s="429"/>
      <c r="S55" s="429"/>
    </row>
    <row r="56" spans="1:19" ht="12.75">
      <c r="A56" s="278"/>
      <c r="B56" s="497" t="s">
        <v>207</v>
      </c>
      <c r="C56" s="635" t="s">
        <v>204</v>
      </c>
      <c r="D56" s="635"/>
      <c r="E56" s="635"/>
      <c r="F56" s="635"/>
      <c r="G56" s="635"/>
      <c r="H56" s="635"/>
      <c r="I56" s="635"/>
      <c r="J56" s="635"/>
      <c r="K56" s="635"/>
      <c r="L56" s="635"/>
      <c r="M56" s="635"/>
      <c r="N56" s="635"/>
      <c r="O56" s="323"/>
      <c r="P56" s="429"/>
      <c r="Q56" s="291"/>
      <c r="R56" s="429"/>
      <c r="S56" s="429"/>
    </row>
    <row r="57" spans="1:19" ht="12.75">
      <c r="A57" s="278"/>
      <c r="B57" s="503"/>
      <c r="C57" s="635"/>
      <c r="D57" s="635"/>
      <c r="E57" s="635"/>
      <c r="F57" s="635"/>
      <c r="G57" s="635"/>
      <c r="H57" s="635"/>
      <c r="I57" s="635"/>
      <c r="J57" s="635"/>
      <c r="K57" s="635"/>
      <c r="L57" s="635"/>
      <c r="M57" s="635"/>
      <c r="N57" s="635"/>
      <c r="O57" s="323"/>
      <c r="P57" s="429"/>
      <c r="Q57" s="291"/>
      <c r="R57" s="429"/>
      <c r="S57" s="429"/>
    </row>
    <row r="59" spans="1:6" ht="15.75">
      <c r="A59" s="452" t="s">
        <v>146</v>
      </c>
      <c r="C59" s="273"/>
      <c r="D59" s="273"/>
      <c r="E59" s="273"/>
      <c r="F59" s="273"/>
    </row>
    <row r="60" ht="13.5" thickBot="1"/>
    <row r="61" spans="2:16" ht="13.5" thickBot="1">
      <c r="B61" s="320">
        <v>1</v>
      </c>
      <c r="C61" s="362"/>
      <c r="D61" s="551" t="s">
        <v>182</v>
      </c>
      <c r="E61" s="552"/>
      <c r="F61" s="552"/>
      <c r="G61" s="552"/>
      <c r="H61" s="552"/>
      <c r="I61" s="552"/>
      <c r="J61" s="552"/>
      <c r="K61" s="552"/>
      <c r="L61" s="552"/>
      <c r="M61" s="258"/>
      <c r="N61" s="464"/>
      <c r="O61" s="363"/>
      <c r="P61" s="363"/>
    </row>
    <row r="62" spans="2:14" ht="72" customHeight="1">
      <c r="B62" s="320"/>
      <c r="C62" s="626" t="s">
        <v>238</v>
      </c>
      <c r="D62" s="626"/>
      <c r="E62" s="626"/>
      <c r="F62" s="626"/>
      <c r="G62" s="626"/>
      <c r="H62" s="626"/>
      <c r="I62" s="626"/>
      <c r="J62" s="626"/>
      <c r="M62" s="258"/>
      <c r="N62" s="464"/>
    </row>
    <row r="63" spans="2:14" ht="12.75">
      <c r="B63" s="320"/>
      <c r="C63" s="249"/>
      <c r="D63" s="249"/>
      <c r="E63" s="249"/>
      <c r="F63" s="249"/>
      <c r="G63" s="249"/>
      <c r="H63" s="249"/>
      <c r="M63" s="258"/>
      <c r="N63" s="464"/>
    </row>
    <row r="64" spans="2:14" ht="12.75">
      <c r="B64" s="320">
        <v>2</v>
      </c>
      <c r="C64" t="s">
        <v>125</v>
      </c>
      <c r="D64"/>
      <c r="E64"/>
      <c r="F64"/>
      <c r="G64"/>
      <c r="H64"/>
      <c r="M64" s="258" t="s">
        <v>289</v>
      </c>
      <c r="N64" s="391"/>
    </row>
    <row r="65" spans="2:14" ht="138" customHeight="1">
      <c r="B65" s="320"/>
      <c r="C65" s="626" t="s">
        <v>180</v>
      </c>
      <c r="D65" s="626"/>
      <c r="E65" s="626"/>
      <c r="F65" s="626"/>
      <c r="G65" s="626"/>
      <c r="H65" s="626"/>
      <c r="I65" s="626"/>
      <c r="J65" s="626"/>
      <c r="M65" s="258"/>
      <c r="N65" s="464"/>
    </row>
    <row r="66" spans="2:14" ht="165" customHeight="1">
      <c r="B66" s="320"/>
      <c r="C66" s="626" t="s">
        <v>183</v>
      </c>
      <c r="D66" s="626"/>
      <c r="E66" s="626"/>
      <c r="F66" s="626"/>
      <c r="G66" s="626"/>
      <c r="H66" s="626"/>
      <c r="I66" s="626"/>
      <c r="J66" s="626"/>
      <c r="K66" s="453"/>
      <c r="L66" s="453"/>
      <c r="M66" s="258"/>
      <c r="N66" s="464"/>
    </row>
    <row r="67" spans="2:14" ht="12.75">
      <c r="B67" s="320"/>
      <c r="C67" s="249"/>
      <c r="D67" s="249"/>
      <c r="E67" s="249"/>
      <c r="F67" s="249"/>
      <c r="G67" s="249"/>
      <c r="H67" s="249"/>
      <c r="M67" s="258"/>
      <c r="N67" s="464"/>
    </row>
    <row r="68" spans="2:14" ht="12.75">
      <c r="B68" s="320">
        <v>3</v>
      </c>
      <c r="C68" s="85" t="s">
        <v>239</v>
      </c>
      <c r="D68"/>
      <c r="E68"/>
      <c r="F68"/>
      <c r="M68" s="258" t="s">
        <v>289</v>
      </c>
      <c r="N68" s="391">
        <v>0</v>
      </c>
    </row>
    <row r="69" spans="2:14" ht="92.25" customHeight="1">
      <c r="B69" s="320"/>
      <c r="C69" s="626" t="s">
        <v>253</v>
      </c>
      <c r="D69" s="626"/>
      <c r="E69" s="626"/>
      <c r="F69" s="626"/>
      <c r="G69" s="626"/>
      <c r="H69" s="626"/>
      <c r="I69" s="626"/>
      <c r="J69" s="626"/>
      <c r="M69" s="258"/>
      <c r="N69" s="464"/>
    </row>
    <row r="70" spans="2:14" ht="12.75">
      <c r="B70" s="320"/>
      <c r="C70" s="249"/>
      <c r="D70" s="249"/>
      <c r="E70" s="249"/>
      <c r="F70" s="249"/>
      <c r="M70" s="258"/>
      <c r="N70" s="464"/>
    </row>
    <row r="71" spans="2:14" ht="12.75">
      <c r="B71" s="321">
        <v>4</v>
      </c>
      <c r="C71" s="85" t="s">
        <v>254</v>
      </c>
      <c r="D71"/>
      <c r="E71"/>
      <c r="M71" s="258" t="s">
        <v>289</v>
      </c>
      <c r="N71" s="391">
        <v>0</v>
      </c>
    </row>
    <row r="72" spans="3:10" ht="53.25" customHeight="1">
      <c r="C72" s="624" t="s">
        <v>255</v>
      </c>
      <c r="D72" s="624"/>
      <c r="E72" s="624"/>
      <c r="F72" s="624"/>
      <c r="G72" s="624"/>
      <c r="H72" s="624"/>
      <c r="I72" s="624"/>
      <c r="J72" s="624"/>
    </row>
    <row r="73" spans="3:10" ht="12.75">
      <c r="C73" s="277"/>
      <c r="D73" s="277"/>
      <c r="E73" s="277"/>
      <c r="F73" s="277"/>
      <c r="G73" s="277"/>
      <c r="H73" s="277"/>
      <c r="I73" s="277"/>
      <c r="J73" s="277"/>
    </row>
    <row r="74" spans="1:5" ht="15.75">
      <c r="A74" s="452" t="s">
        <v>147</v>
      </c>
      <c r="C74" s="273"/>
      <c r="D74" s="273"/>
      <c r="E74" s="273"/>
    </row>
    <row r="76" spans="2:14" ht="12.75">
      <c r="B76" s="320">
        <v>1</v>
      </c>
      <c r="C76" t="s">
        <v>173</v>
      </c>
      <c r="D76"/>
      <c r="E76"/>
      <c r="F76"/>
      <c r="G76"/>
      <c r="M76" s="341"/>
      <c r="N76" s="482">
        <v>0.0006</v>
      </c>
    </row>
    <row r="77" spans="3:10" ht="57" customHeight="1">
      <c r="C77" s="624" t="s">
        <v>186</v>
      </c>
      <c r="D77" s="624"/>
      <c r="E77" s="624"/>
      <c r="F77" s="624"/>
      <c r="G77" s="624"/>
      <c r="H77" s="624"/>
      <c r="I77" s="624"/>
      <c r="J77" s="624"/>
    </row>
    <row r="78" spans="3:10" ht="12.75">
      <c r="C78" s="456"/>
      <c r="D78" s="456"/>
      <c r="E78" s="456"/>
      <c r="F78" s="456"/>
      <c r="G78" s="456"/>
      <c r="H78" s="456"/>
      <c r="I78" s="456"/>
      <c r="J78" s="456"/>
    </row>
  </sheetData>
  <sheetProtection sheet="1" formatColumns="0" formatRows="0"/>
  <mergeCells count="60">
    <mergeCell ref="Q5:AC5"/>
    <mergeCell ref="B20:E20"/>
    <mergeCell ref="L20:M20"/>
    <mergeCell ref="I20:J20"/>
    <mergeCell ref="D8:N8"/>
    <mergeCell ref="D9:N9"/>
    <mergeCell ref="D10:N10"/>
    <mergeCell ref="B18:E18"/>
    <mergeCell ref="B17:E17"/>
    <mergeCell ref="B19:E19"/>
    <mergeCell ref="F16:G16"/>
    <mergeCell ref="B16:E16"/>
    <mergeCell ref="K42:L42"/>
    <mergeCell ref="K16:M16"/>
    <mergeCell ref="I29:J29"/>
    <mergeCell ref="K37:L37"/>
    <mergeCell ref="H16:J16"/>
    <mergeCell ref="H25:J25"/>
    <mergeCell ref="I27:J27"/>
    <mergeCell ref="I28:J28"/>
    <mergeCell ref="K49:L49"/>
    <mergeCell ref="F17:G17"/>
    <mergeCell ref="K25:M25"/>
    <mergeCell ref="I17:J17"/>
    <mergeCell ref="F25:G25"/>
    <mergeCell ref="I26:J26"/>
    <mergeCell ref="K48:L48"/>
    <mergeCell ref="L29:M29"/>
    <mergeCell ref="K46:L46"/>
    <mergeCell ref="K38:L38"/>
    <mergeCell ref="C66:J66"/>
    <mergeCell ref="L17:M17"/>
    <mergeCell ref="I19:J19"/>
    <mergeCell ref="L19:M19"/>
    <mergeCell ref="I18:J18"/>
    <mergeCell ref="L18:M18"/>
    <mergeCell ref="D61:L61"/>
    <mergeCell ref="K52:L52"/>
    <mergeCell ref="K44:L44"/>
    <mergeCell ref="K45:L45"/>
    <mergeCell ref="C69:J69"/>
    <mergeCell ref="C72:J72"/>
    <mergeCell ref="K39:L39"/>
    <mergeCell ref="K43:L43"/>
    <mergeCell ref="K40:L40"/>
    <mergeCell ref="K50:L50"/>
    <mergeCell ref="K51:L51"/>
    <mergeCell ref="K47:L47"/>
    <mergeCell ref="C56:N57"/>
    <mergeCell ref="K41:L41"/>
    <mergeCell ref="C77:J77"/>
    <mergeCell ref="B7:N7"/>
    <mergeCell ref="B23:N23"/>
    <mergeCell ref="B14:N14"/>
    <mergeCell ref="B35:N35"/>
    <mergeCell ref="C62:J62"/>
    <mergeCell ref="C65:J65"/>
    <mergeCell ref="L26:M26"/>
    <mergeCell ref="L27:M27"/>
    <mergeCell ref="L28:M28"/>
  </mergeCells>
  <dataValidations count="2">
    <dataValidation type="list" allowBlank="1" showInputMessage="1" showErrorMessage="1" sqref="C61">
      <formula1>"X"</formula1>
    </dataValidation>
    <dataValidation type="list" allowBlank="1" showInputMessage="1" showErrorMessage="1" sqref="B8:B11">
      <formula1>"X, x"</formula1>
    </dataValidation>
  </dataValidations>
  <printOptions/>
  <pageMargins left="0.7" right="0.7" top="0.75" bottom="0.75" header="0.3" footer="0.3"/>
  <pageSetup fitToHeight="1" fitToWidth="1" horizontalDpi="600" verticalDpi="600" orientation="portrait" scale="38" r:id="rId1"/>
  <headerFooter>
    <oddFooter>&amp;L&amp;"Arial,Bold"Rev. 5/19 Arizona Department of Education and Auditor General&amp;R&amp;"Arial,Bold"Data Entry</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AE117"/>
  <sheetViews>
    <sheetView showGridLines="0" zoomScaleSheetLayoutView="100" workbookViewId="0" topLeftCell="A66">
      <selection activeCell="N111" sqref="N111"/>
    </sheetView>
  </sheetViews>
  <sheetFormatPr defaultColWidth="11.140625" defaultRowHeight="12.75"/>
  <cols>
    <col min="1" max="1" width="3.421875" style="269" customWidth="1"/>
    <col min="2" max="2" width="2.421875" style="269" customWidth="1"/>
    <col min="3" max="3" width="3.8515625" style="269" customWidth="1"/>
    <col min="4" max="4" width="4.28125" style="269" customWidth="1"/>
    <col min="5" max="5" width="7.7109375" style="269" customWidth="1"/>
    <col min="6" max="7" width="11.140625" style="269" customWidth="1"/>
    <col min="8" max="8" width="11.7109375" style="269" customWidth="1"/>
    <col min="9" max="9" width="11.57421875" style="269" customWidth="1"/>
    <col min="10" max="10" width="12.7109375" style="269" customWidth="1"/>
    <col min="11" max="11" width="2.7109375" style="269" customWidth="1"/>
    <col min="12" max="12" width="14.00390625" style="269" customWidth="1"/>
    <col min="13" max="13" width="1.57421875" style="269" customWidth="1"/>
    <col min="14" max="14" width="14.00390625" style="269" bestFit="1" customWidth="1"/>
    <col min="15" max="15" width="11.140625" style="269" customWidth="1"/>
    <col min="16" max="16" width="7.57421875" style="269" customWidth="1"/>
    <col min="17" max="18" width="11.140625" style="269" customWidth="1"/>
    <col min="19" max="19" width="7.28125" style="269" customWidth="1"/>
    <col min="20" max="22" width="11.140625" style="269" customWidth="1"/>
    <col min="23" max="23" width="7.28125" style="269" customWidth="1"/>
    <col min="24" max="26" width="11.140625" style="269" customWidth="1"/>
    <col min="27" max="27" width="7.28125" style="269" customWidth="1"/>
    <col min="28" max="16384" width="11.140625" style="269" customWidth="1"/>
  </cols>
  <sheetData>
    <row r="1" spans="1:15" ht="15.75" customHeight="1">
      <c r="A1" s="668" t="s">
        <v>187</v>
      </c>
      <c r="B1" s="668"/>
      <c r="C1" s="668"/>
      <c r="D1" s="668"/>
      <c r="E1" s="669" t="str">
        <f>Cover!D1</f>
        <v>NORTH STAR CHARTER SCHOOL, INC.</v>
      </c>
      <c r="F1" s="670"/>
      <c r="G1" s="670"/>
      <c r="H1" s="309" t="s">
        <v>61</v>
      </c>
      <c r="I1" s="474" t="str">
        <f>Cover!M1</f>
        <v>MARICOPA</v>
      </c>
      <c r="J1" s="668" t="s">
        <v>475</v>
      </c>
      <c r="K1" s="668"/>
      <c r="L1" s="675" t="str">
        <f>Cover!R1</f>
        <v>078945000</v>
      </c>
      <c r="M1" s="676"/>
      <c r="N1" s="309"/>
      <c r="O1" s="311"/>
    </row>
    <row r="2" spans="1:15" ht="15.75" customHeight="1">
      <c r="A2" s="309"/>
      <c r="B2" s="309"/>
      <c r="C2" s="309"/>
      <c r="D2" s="309"/>
      <c r="E2" s="400"/>
      <c r="F2" s="400"/>
      <c r="G2" s="400"/>
      <c r="H2" s="309"/>
      <c r="I2" s="400"/>
      <c r="J2" s="309"/>
      <c r="K2" s="309"/>
      <c r="L2" s="311"/>
      <c r="M2" s="311"/>
      <c r="N2" s="309"/>
      <c r="O2" s="311"/>
    </row>
    <row r="3" spans="1:15" ht="15.75" customHeight="1">
      <c r="A3" s="309"/>
      <c r="B3" s="309"/>
      <c r="C3" s="309"/>
      <c r="D3" s="309"/>
      <c r="E3" s="400"/>
      <c r="F3" s="400"/>
      <c r="G3" s="400"/>
      <c r="H3" s="309"/>
      <c r="I3" s="400"/>
      <c r="J3" s="309"/>
      <c r="K3" s="309"/>
      <c r="L3" s="311"/>
      <c r="M3" s="311"/>
      <c r="N3" s="309"/>
      <c r="O3" s="311"/>
    </row>
    <row r="4" spans="1:15" ht="15.75" customHeight="1">
      <c r="A4" s="309"/>
      <c r="B4" s="309"/>
      <c r="C4" s="309"/>
      <c r="D4" s="309"/>
      <c r="E4" s="400"/>
      <c r="F4" s="400"/>
      <c r="G4" s="400"/>
      <c r="H4" s="309"/>
      <c r="I4" s="400"/>
      <c r="J4" s="309"/>
      <c r="K4" s="309"/>
      <c r="L4" s="311"/>
      <c r="M4" s="311"/>
      <c r="N4" s="309"/>
      <c r="O4" s="311"/>
    </row>
    <row r="5" spans="1:15" ht="15.75" customHeight="1">
      <c r="A5" s="275" t="s">
        <v>191</v>
      </c>
      <c r="B5" s="309"/>
      <c r="C5" s="107"/>
      <c r="D5" s="107"/>
      <c r="E5" s="107"/>
      <c r="F5" s="107"/>
      <c r="G5" s="107"/>
      <c r="H5" s="107"/>
      <c r="I5" s="400"/>
      <c r="J5" s="309"/>
      <c r="K5" s="309"/>
      <c r="L5" s="311"/>
      <c r="M5" s="311"/>
      <c r="N5" s="309"/>
      <c r="O5" s="311"/>
    </row>
    <row r="6" spans="1:15" ht="15.75" customHeight="1">
      <c r="A6" s="275"/>
      <c r="B6" s="309"/>
      <c r="C6" s="442" t="s">
        <v>126</v>
      </c>
      <c r="D6" s="457"/>
      <c r="E6" s="457"/>
      <c r="F6" s="457"/>
      <c r="G6" s="457"/>
      <c r="H6" s="457"/>
      <c r="I6" s="461"/>
      <c r="J6" s="462"/>
      <c r="K6" s="462"/>
      <c r="L6" s="463"/>
      <c r="M6" s="463"/>
      <c r="N6" s="462"/>
      <c r="O6" s="311"/>
    </row>
    <row r="7" spans="1:15" ht="15.75" customHeight="1" thickBot="1">
      <c r="A7" s="309"/>
      <c r="B7" s="309"/>
      <c r="C7" s="407" t="s">
        <v>167</v>
      </c>
      <c r="D7" s="407"/>
      <c r="E7" s="404"/>
      <c r="F7" s="404"/>
      <c r="G7" s="404"/>
      <c r="H7" s="404"/>
      <c r="I7" s="408"/>
      <c r="J7" s="409"/>
      <c r="K7" s="415"/>
      <c r="L7" s="473" t="s">
        <v>63</v>
      </c>
      <c r="M7" s="410"/>
      <c r="N7" s="411" t="s">
        <v>64</v>
      </c>
      <c r="O7" s="311"/>
    </row>
    <row r="8" spans="1:15" ht="15.75" customHeight="1" thickTop="1">
      <c r="A8" s="309"/>
      <c r="B8" s="309"/>
      <c r="C8" s="345" t="s">
        <v>121</v>
      </c>
      <c r="D8" s="85"/>
      <c r="E8" s="85"/>
      <c r="F8" s="287"/>
      <c r="G8" s="287"/>
      <c r="H8" s="287"/>
      <c r="I8" s="400"/>
      <c r="J8" s="309"/>
      <c r="K8" s="414"/>
      <c r="L8" s="85"/>
      <c r="M8" s="345"/>
      <c r="N8" s="413"/>
      <c r="O8" s="311"/>
    </row>
    <row r="9" spans="1:15" ht="15.75" customHeight="1" thickBot="1">
      <c r="A9" s="309"/>
      <c r="B9" s="309"/>
      <c r="C9" s="360"/>
      <c r="D9" s="301" t="s">
        <v>65</v>
      </c>
      <c r="E9" s="301"/>
      <c r="F9" s="301"/>
      <c r="G9" s="301"/>
      <c r="H9" s="301"/>
      <c r="I9" s="405"/>
      <c r="J9" s="406"/>
      <c r="K9" s="412"/>
      <c r="L9" s="466">
        <v>1.399</v>
      </c>
      <c r="M9" s="300"/>
      <c r="N9" s="348">
        <v>1.559</v>
      </c>
      <c r="O9" s="311"/>
    </row>
    <row r="10" spans="1:15" ht="15.75" customHeight="1" thickTop="1">
      <c r="A10" s="309"/>
      <c r="B10" s="309"/>
      <c r="C10" s="344" t="s">
        <v>66</v>
      </c>
      <c r="D10" s="85"/>
      <c r="E10" s="85"/>
      <c r="F10" s="279"/>
      <c r="G10" s="279"/>
      <c r="H10" s="279"/>
      <c r="I10" s="400"/>
      <c r="J10" s="309"/>
      <c r="K10" s="288"/>
      <c r="L10" s="107"/>
      <c r="M10" s="345"/>
      <c r="N10" s="347"/>
      <c r="O10" s="311"/>
    </row>
    <row r="11" spans="1:15" ht="15.75" customHeight="1">
      <c r="A11" s="309"/>
      <c r="B11" s="309"/>
      <c r="C11" s="345"/>
      <c r="D11" s="85" t="s">
        <v>67</v>
      </c>
      <c r="E11" s="85"/>
      <c r="F11" s="85"/>
      <c r="G11" s="85"/>
      <c r="H11" s="85"/>
      <c r="I11" s="400"/>
      <c r="J11" s="309"/>
      <c r="K11" s="271"/>
      <c r="L11" s="471">
        <v>500</v>
      </c>
      <c r="M11" s="349"/>
      <c r="N11" s="401">
        <v>500</v>
      </c>
      <c r="O11" s="311"/>
    </row>
    <row r="12" spans="1:15" ht="15.75" customHeight="1">
      <c r="A12" s="309"/>
      <c r="B12" s="309"/>
      <c r="C12" s="345"/>
      <c r="D12" s="85" t="s">
        <v>97</v>
      </c>
      <c r="E12" s="85"/>
      <c r="F12" s="85"/>
      <c r="G12" s="85"/>
      <c r="H12" s="85"/>
      <c r="I12" s="400"/>
      <c r="J12" s="309"/>
      <c r="K12" s="271" t="s">
        <v>68</v>
      </c>
      <c r="L12" s="467">
        <f>IF('Data Entry'!I20&gt;99.999,IF('Data Entry'!I20&lt;500,'Data Entry'!I20,0),0)</f>
        <v>0</v>
      </c>
      <c r="M12" s="271" t="s">
        <v>68</v>
      </c>
      <c r="N12" s="352">
        <f>IF('Data Entry'!L20&gt;99.999,IF('Data Entry'!L20&lt;500,'Data Entry'!L20,0),0)</f>
        <v>0</v>
      </c>
      <c r="O12" s="311"/>
    </row>
    <row r="13" spans="1:15" ht="15.75" customHeight="1">
      <c r="A13" s="309"/>
      <c r="B13" s="309"/>
      <c r="C13" s="345"/>
      <c r="D13" s="85" t="s">
        <v>69</v>
      </c>
      <c r="E13" s="85"/>
      <c r="F13" s="85"/>
      <c r="G13" s="85"/>
      <c r="H13" s="85"/>
      <c r="I13" s="400"/>
      <c r="J13" s="309"/>
      <c r="K13" s="105" t="s">
        <v>70</v>
      </c>
      <c r="L13" s="470">
        <f>IF(L12&gt;0,ROUND(+L11-L12,3),0)</f>
        <v>0</v>
      </c>
      <c r="M13" s="298" t="s">
        <v>70</v>
      </c>
      <c r="N13" s="353">
        <f>IF(N12&gt;0,ROUND(+N11-N12,3),0)</f>
        <v>0</v>
      </c>
      <c r="O13" s="311"/>
    </row>
    <row r="14" spans="1:15" ht="15.75" customHeight="1">
      <c r="A14" s="309"/>
      <c r="B14" s="309"/>
      <c r="C14" s="345"/>
      <c r="D14" s="85" t="s">
        <v>71</v>
      </c>
      <c r="E14" s="85"/>
      <c r="F14" s="85"/>
      <c r="G14" s="85"/>
      <c r="H14" s="85"/>
      <c r="I14" s="400"/>
      <c r="J14" s="309"/>
      <c r="K14" s="105" t="s">
        <v>72</v>
      </c>
      <c r="L14" s="467">
        <v>0.0003</v>
      </c>
      <c r="M14" s="105" t="s">
        <v>72</v>
      </c>
      <c r="N14" s="352">
        <v>0.0004</v>
      </c>
      <c r="O14" s="311"/>
    </row>
    <row r="15" spans="1:15" ht="15.75" customHeight="1">
      <c r="A15" s="309"/>
      <c r="B15" s="309"/>
      <c r="C15" s="345"/>
      <c r="D15" s="85" t="s">
        <v>73</v>
      </c>
      <c r="E15" s="85"/>
      <c r="F15" s="85"/>
      <c r="G15" s="85"/>
      <c r="H15" s="85"/>
      <c r="I15" s="400"/>
      <c r="J15" s="309"/>
      <c r="K15" s="105" t="s">
        <v>70</v>
      </c>
      <c r="L15" s="467">
        <f>IF(L12&gt;0,ROUND(L13*L14,3),0)</f>
        <v>0</v>
      </c>
      <c r="M15" s="271" t="s">
        <v>70</v>
      </c>
      <c r="N15" s="352">
        <f>IF(N12&gt;0,ROUND(N13*N14,3),0)</f>
        <v>0</v>
      </c>
      <c r="O15" s="311"/>
    </row>
    <row r="16" spans="1:15" ht="15.75" customHeight="1">
      <c r="A16" s="309"/>
      <c r="B16" s="309"/>
      <c r="C16" s="345"/>
      <c r="D16" s="85" t="s">
        <v>122</v>
      </c>
      <c r="E16" s="85"/>
      <c r="F16" s="85"/>
      <c r="G16" s="85"/>
      <c r="H16" s="85"/>
      <c r="I16" s="400"/>
      <c r="J16" s="309"/>
      <c r="K16" s="105" t="s">
        <v>74</v>
      </c>
      <c r="L16" s="467">
        <v>1.278</v>
      </c>
      <c r="M16" s="105" t="s">
        <v>74</v>
      </c>
      <c r="N16" s="352">
        <v>1.398</v>
      </c>
      <c r="O16" s="311"/>
    </row>
    <row r="17" spans="1:15" ht="15.75" customHeight="1" thickBot="1">
      <c r="A17" s="309"/>
      <c r="B17" s="309"/>
      <c r="C17" s="360"/>
      <c r="D17" s="301" t="s">
        <v>123</v>
      </c>
      <c r="E17" s="301"/>
      <c r="F17" s="301"/>
      <c r="G17" s="301"/>
      <c r="H17" s="301"/>
      <c r="I17" s="405"/>
      <c r="J17" s="406"/>
      <c r="K17" s="299" t="s">
        <v>70</v>
      </c>
      <c r="L17" s="468">
        <f>IF(L12&gt;0,ROUND(+L15+L16,3),0)</f>
        <v>0</v>
      </c>
      <c r="M17" s="300" t="s">
        <v>70</v>
      </c>
      <c r="N17" s="354">
        <f>IF(N12&gt;0,ROUND(+N15+N16,3),0)</f>
        <v>0</v>
      </c>
      <c r="O17" s="311"/>
    </row>
    <row r="18" spans="1:15" ht="15.75" customHeight="1" thickTop="1">
      <c r="A18" s="309"/>
      <c r="B18" s="309"/>
      <c r="C18" s="344" t="s">
        <v>75</v>
      </c>
      <c r="D18" s="85"/>
      <c r="E18" s="85"/>
      <c r="F18" s="279"/>
      <c r="G18" s="279"/>
      <c r="H18" s="279"/>
      <c r="I18" s="400"/>
      <c r="J18" s="309"/>
      <c r="K18" s="288"/>
      <c r="L18" s="85"/>
      <c r="M18" s="345"/>
      <c r="N18" s="347"/>
      <c r="O18" s="311"/>
    </row>
    <row r="19" spans="1:15" ht="15.75" customHeight="1">
      <c r="A19" s="309"/>
      <c r="B19" s="309"/>
      <c r="C19" s="345"/>
      <c r="D19" s="85" t="s">
        <v>67</v>
      </c>
      <c r="E19" s="85"/>
      <c r="F19" s="85"/>
      <c r="G19" s="85"/>
      <c r="H19" s="85"/>
      <c r="I19" s="400"/>
      <c r="J19" s="309"/>
      <c r="K19" s="345"/>
      <c r="L19" s="472">
        <v>600</v>
      </c>
      <c r="M19" s="349"/>
      <c r="N19" s="355">
        <v>600</v>
      </c>
      <c r="O19" s="311"/>
    </row>
    <row r="20" spans="1:15" ht="15.75" customHeight="1">
      <c r="A20" s="309"/>
      <c r="B20" s="309"/>
      <c r="C20" s="345"/>
      <c r="D20" s="85" t="s">
        <v>97</v>
      </c>
      <c r="E20" s="85"/>
      <c r="F20" s="85"/>
      <c r="G20" s="85"/>
      <c r="H20" s="85"/>
      <c r="I20" s="400"/>
      <c r="J20" s="309"/>
      <c r="K20" s="315" t="s">
        <v>68</v>
      </c>
      <c r="L20" s="467">
        <f>IF('Data Entry'!I20&gt;499.999,IF('Data Entry'!I20&lt;600,'Data Entry'!I20,0),0)</f>
        <v>0</v>
      </c>
      <c r="M20" s="271" t="s">
        <v>68</v>
      </c>
      <c r="N20" s="352">
        <f>IF('Data Entry'!L20&gt;499.999,IF('Data Entry'!L20&lt;600,'Data Entry'!L20,0),0)</f>
        <v>0</v>
      </c>
      <c r="O20" s="311"/>
    </row>
    <row r="21" spans="1:15" ht="15.75" customHeight="1">
      <c r="A21" s="309"/>
      <c r="B21" s="309"/>
      <c r="C21" s="345"/>
      <c r="D21" s="85" t="s">
        <v>69</v>
      </c>
      <c r="E21" s="85"/>
      <c r="F21" s="85"/>
      <c r="G21" s="85"/>
      <c r="H21" s="85"/>
      <c r="I21" s="400"/>
      <c r="J21" s="309"/>
      <c r="K21" s="403" t="s">
        <v>70</v>
      </c>
      <c r="L21" s="470">
        <f>IF(L20&gt;0,ROUND(+L19-L20,3),0)</f>
        <v>0</v>
      </c>
      <c r="M21" s="298" t="s">
        <v>70</v>
      </c>
      <c r="N21" s="353">
        <f>IF(N20&gt;0,ROUND(+N19-N20,3),0)</f>
        <v>0</v>
      </c>
      <c r="O21" s="311"/>
    </row>
    <row r="22" spans="1:15" ht="15.75" customHeight="1">
      <c r="A22" s="309"/>
      <c r="B22" s="309"/>
      <c r="C22" s="345"/>
      <c r="D22" s="85" t="s">
        <v>71</v>
      </c>
      <c r="E22" s="85"/>
      <c r="F22" s="85"/>
      <c r="G22" s="85"/>
      <c r="H22" s="85"/>
      <c r="I22" s="400"/>
      <c r="J22" s="309"/>
      <c r="K22" s="315" t="s">
        <v>72</v>
      </c>
      <c r="L22" s="467">
        <v>0.0012</v>
      </c>
      <c r="M22" s="105" t="s">
        <v>72</v>
      </c>
      <c r="N22" s="352">
        <v>0.0013</v>
      </c>
      <c r="O22" s="311"/>
    </row>
    <row r="23" spans="1:15" ht="15.75" customHeight="1">
      <c r="A23" s="309"/>
      <c r="B23" s="309"/>
      <c r="C23" s="345"/>
      <c r="D23" s="85" t="s">
        <v>73</v>
      </c>
      <c r="E23" s="85"/>
      <c r="F23" s="85"/>
      <c r="G23" s="85"/>
      <c r="H23" s="85"/>
      <c r="I23" s="400"/>
      <c r="J23" s="309"/>
      <c r="K23" s="403" t="s">
        <v>70</v>
      </c>
      <c r="L23" s="467">
        <f>IF(L20&gt;0,ROUND(L21*L22,3),0)</f>
        <v>0</v>
      </c>
      <c r="M23" s="271" t="s">
        <v>70</v>
      </c>
      <c r="N23" s="352">
        <f>IF(N20&gt;0,ROUND(N21*N22,3),0)</f>
        <v>0</v>
      </c>
      <c r="O23" s="311"/>
    </row>
    <row r="24" spans="1:15" ht="15.75" customHeight="1">
      <c r="A24" s="309"/>
      <c r="B24" s="309"/>
      <c r="C24" s="345"/>
      <c r="D24" s="85" t="s">
        <v>122</v>
      </c>
      <c r="E24" s="85"/>
      <c r="F24" s="85"/>
      <c r="G24" s="85"/>
      <c r="H24" s="85"/>
      <c r="I24" s="400"/>
      <c r="J24" s="309"/>
      <c r="K24" s="315" t="s">
        <v>74</v>
      </c>
      <c r="L24" s="467">
        <v>1.158</v>
      </c>
      <c r="M24" s="271" t="s">
        <v>74</v>
      </c>
      <c r="N24" s="352">
        <v>1.268</v>
      </c>
      <c r="O24" s="311"/>
    </row>
    <row r="25" spans="1:15" ht="15.75" customHeight="1" thickBot="1">
      <c r="A25" s="309"/>
      <c r="B25" s="309"/>
      <c r="C25" s="360"/>
      <c r="D25" s="301" t="s">
        <v>123</v>
      </c>
      <c r="E25" s="301"/>
      <c r="F25" s="301"/>
      <c r="G25" s="301"/>
      <c r="H25" s="301"/>
      <c r="I25" s="405"/>
      <c r="J25" s="406"/>
      <c r="K25" s="318" t="s">
        <v>70</v>
      </c>
      <c r="L25" s="468">
        <f>IF(L20&gt;0,ROUND(+L23+L24,3),0)</f>
        <v>0</v>
      </c>
      <c r="M25" s="299" t="s">
        <v>70</v>
      </c>
      <c r="N25" s="348">
        <f>IF(N20&gt;0,ROUND(+N23+N24,3),0)</f>
        <v>0</v>
      </c>
      <c r="O25" s="311"/>
    </row>
    <row r="26" spans="1:15" ht="15.75" customHeight="1" thickTop="1">
      <c r="A26" s="309"/>
      <c r="B26" s="309"/>
      <c r="C26" s="344" t="s">
        <v>124</v>
      </c>
      <c r="D26" s="85"/>
      <c r="E26" s="85"/>
      <c r="F26" s="280"/>
      <c r="G26" s="280"/>
      <c r="H26" s="279"/>
      <c r="I26" s="400"/>
      <c r="J26" s="309"/>
      <c r="K26" s="288"/>
      <c r="L26" s="346"/>
      <c r="M26" s="344"/>
      <c r="N26" s="347"/>
      <c r="O26" s="311"/>
    </row>
    <row r="27" spans="1:15" ht="15.75" customHeight="1" thickBot="1">
      <c r="A27" s="309"/>
      <c r="B27" s="309"/>
      <c r="C27" s="272"/>
      <c r="D27" s="301" t="s">
        <v>123</v>
      </c>
      <c r="E27" s="301"/>
      <c r="F27" s="301"/>
      <c r="G27" s="301"/>
      <c r="H27" s="301"/>
      <c r="I27" s="405"/>
      <c r="J27" s="406"/>
      <c r="K27" s="300"/>
      <c r="L27" s="466">
        <v>1.158</v>
      </c>
      <c r="M27" s="300"/>
      <c r="N27" s="348">
        <v>1.268</v>
      </c>
      <c r="O27" s="311"/>
    </row>
    <row r="28" spans="1:15" ht="15.75" customHeight="1" thickTop="1">
      <c r="A28" s="309"/>
      <c r="B28" s="309"/>
      <c r="C28" s="293"/>
      <c r="D28" s="85"/>
      <c r="E28" s="85"/>
      <c r="F28" s="85"/>
      <c r="G28" s="85"/>
      <c r="H28" s="85"/>
      <c r="I28" s="400"/>
      <c r="J28" s="309"/>
      <c r="K28" s="85"/>
      <c r="L28" s="85"/>
      <c r="M28" s="85"/>
      <c r="N28" s="85"/>
      <c r="O28" s="311"/>
    </row>
    <row r="29" spans="1:15" ht="15.75" customHeight="1">
      <c r="A29" s="309"/>
      <c r="B29" s="309"/>
      <c r="C29" s="293"/>
      <c r="D29" s="85"/>
      <c r="E29" s="85"/>
      <c r="F29" s="85"/>
      <c r="G29" s="85"/>
      <c r="H29" s="85"/>
      <c r="I29" s="400"/>
      <c r="J29" s="309"/>
      <c r="K29" s="85"/>
      <c r="L29" s="85"/>
      <c r="M29" s="85"/>
      <c r="N29" s="85"/>
      <c r="O29" s="311"/>
    </row>
    <row r="30" spans="1:15" ht="15.75" customHeight="1">
      <c r="A30" s="309"/>
      <c r="B30" s="309"/>
      <c r="C30" s="293"/>
      <c r="D30" s="85"/>
      <c r="E30" s="85"/>
      <c r="F30" s="85"/>
      <c r="G30" s="85"/>
      <c r="H30" s="85"/>
      <c r="I30" s="400"/>
      <c r="J30" s="309"/>
      <c r="K30" s="85"/>
      <c r="L30" s="85"/>
      <c r="M30" s="85"/>
      <c r="N30" s="85"/>
      <c r="O30" s="311"/>
    </row>
    <row r="31" spans="1:15" ht="15.75" customHeight="1">
      <c r="A31" s="309"/>
      <c r="B31" s="309"/>
      <c r="C31" s="442" t="s">
        <v>170</v>
      </c>
      <c r="D31" s="442"/>
      <c r="E31" s="442"/>
      <c r="F31" s="442"/>
      <c r="G31" s="442"/>
      <c r="H31" s="442"/>
      <c r="I31" s="458"/>
      <c r="J31" s="441"/>
      <c r="K31" s="442"/>
      <c r="L31" s="442"/>
      <c r="M31" s="442"/>
      <c r="N31" s="442"/>
      <c r="O31" s="459"/>
    </row>
    <row r="32" spans="1:15" ht="15.75" customHeight="1" thickBot="1">
      <c r="A32" s="309"/>
      <c r="B32" s="309"/>
      <c r="C32" s="407" t="s">
        <v>167</v>
      </c>
      <c r="D32" s="407"/>
      <c r="E32" s="404"/>
      <c r="F32" s="404"/>
      <c r="G32" s="404"/>
      <c r="H32" s="404"/>
      <c r="I32" s="408"/>
      <c r="J32" s="409"/>
      <c r="K32" s="415"/>
      <c r="L32" s="473" t="s">
        <v>63</v>
      </c>
      <c r="M32" s="416"/>
      <c r="N32" s="411" t="s">
        <v>64</v>
      </c>
      <c r="O32" s="311"/>
    </row>
    <row r="33" spans="1:15" ht="15.75" customHeight="1" thickTop="1">
      <c r="A33" s="309"/>
      <c r="B33" s="309"/>
      <c r="C33" s="345" t="s">
        <v>121</v>
      </c>
      <c r="D33" s="85"/>
      <c r="E33" s="85"/>
      <c r="F33" s="287"/>
      <c r="G33" s="287"/>
      <c r="H33" s="287"/>
      <c r="I33" s="400"/>
      <c r="J33" s="309"/>
      <c r="K33" s="345"/>
      <c r="L33" s="85"/>
      <c r="M33" s="345"/>
      <c r="N33" s="347"/>
      <c r="O33" s="311"/>
    </row>
    <row r="34" spans="1:15" ht="15.75" customHeight="1" thickBot="1">
      <c r="A34" s="309"/>
      <c r="B34" s="309"/>
      <c r="C34" s="360"/>
      <c r="D34" s="301" t="s">
        <v>65</v>
      </c>
      <c r="E34" s="301"/>
      <c r="F34" s="301"/>
      <c r="G34" s="301"/>
      <c r="H34" s="301"/>
      <c r="I34" s="405"/>
      <c r="J34" s="406"/>
      <c r="K34" s="300"/>
      <c r="L34" s="466">
        <v>1.399</v>
      </c>
      <c r="M34" s="300"/>
      <c r="N34" s="348">
        <v>1.559</v>
      </c>
      <c r="O34" s="311"/>
    </row>
    <row r="35" spans="1:15" ht="15.75" customHeight="1" thickTop="1">
      <c r="A35" s="309"/>
      <c r="B35" s="309"/>
      <c r="C35" s="344" t="s">
        <v>66</v>
      </c>
      <c r="D35" s="85"/>
      <c r="E35" s="85"/>
      <c r="F35" s="279"/>
      <c r="G35" s="279"/>
      <c r="H35" s="279"/>
      <c r="I35" s="400"/>
      <c r="J35" s="309"/>
      <c r="K35" s="357"/>
      <c r="L35" s="107"/>
      <c r="M35" s="345"/>
      <c r="N35" s="347"/>
      <c r="O35" s="311"/>
    </row>
    <row r="36" spans="1:15" ht="15.75" customHeight="1">
      <c r="A36" s="309"/>
      <c r="B36" s="309"/>
      <c r="C36" s="345"/>
      <c r="D36" s="85" t="s">
        <v>67</v>
      </c>
      <c r="E36" s="85"/>
      <c r="F36" s="85"/>
      <c r="G36" s="85"/>
      <c r="H36" s="85"/>
      <c r="I36" s="400"/>
      <c r="J36" s="309"/>
      <c r="K36" s="317"/>
      <c r="L36" s="469">
        <v>500</v>
      </c>
      <c r="M36" s="271"/>
      <c r="N36" s="355">
        <v>500</v>
      </c>
      <c r="O36" s="311"/>
    </row>
    <row r="37" spans="1:15" ht="15.75" customHeight="1">
      <c r="A37" s="309"/>
      <c r="B37" s="309"/>
      <c r="C37" s="345"/>
      <c r="D37" s="85" t="s">
        <v>97</v>
      </c>
      <c r="E37" s="85"/>
      <c r="F37" s="85"/>
      <c r="G37" s="85"/>
      <c r="H37" s="85"/>
      <c r="I37" s="400"/>
      <c r="J37" s="309"/>
      <c r="K37" s="317" t="s">
        <v>68</v>
      </c>
      <c r="L37" s="467">
        <f>IF('Data Entry'!I29&gt;99.999,IF('Data Entry'!I29&lt;500,'Data Entry'!I29,0),0)</f>
        <v>0</v>
      </c>
      <c r="M37" s="317" t="s">
        <v>68</v>
      </c>
      <c r="N37" s="352">
        <f>IF('Data Entry'!L29&gt;99.999,IF('Data Entry'!L29&lt;500,'Data Entry'!L29,0),0)</f>
        <v>0</v>
      </c>
      <c r="O37" s="311"/>
    </row>
    <row r="38" spans="1:15" ht="15.75" customHeight="1">
      <c r="A38" s="309"/>
      <c r="B38" s="309"/>
      <c r="C38" s="345"/>
      <c r="D38" s="85" t="s">
        <v>69</v>
      </c>
      <c r="E38" s="85"/>
      <c r="F38" s="85"/>
      <c r="G38" s="85"/>
      <c r="H38" s="85"/>
      <c r="I38" s="400"/>
      <c r="J38" s="309"/>
      <c r="K38" s="317" t="s">
        <v>70</v>
      </c>
      <c r="L38" s="470">
        <f>IF(L37&gt;0,ROUND(+L36-L37,3),0)</f>
        <v>0</v>
      </c>
      <c r="M38" s="317" t="s">
        <v>70</v>
      </c>
      <c r="N38" s="353">
        <f>IF(N37&gt;0,ROUND(+N36-N37,3),0)</f>
        <v>0</v>
      </c>
      <c r="O38" s="311"/>
    </row>
    <row r="39" spans="1:15" ht="15.75" customHeight="1">
      <c r="A39" s="309"/>
      <c r="B39" s="309"/>
      <c r="C39" s="345"/>
      <c r="D39" s="85" t="s">
        <v>71</v>
      </c>
      <c r="E39" s="85"/>
      <c r="F39" s="85"/>
      <c r="G39" s="85"/>
      <c r="H39" s="85"/>
      <c r="I39" s="400"/>
      <c r="J39" s="309"/>
      <c r="K39" s="317" t="s">
        <v>72</v>
      </c>
      <c r="L39" s="467">
        <v>0.0003</v>
      </c>
      <c r="M39" s="317" t="s">
        <v>72</v>
      </c>
      <c r="N39" s="352">
        <v>0.0004</v>
      </c>
      <c r="O39" s="311"/>
    </row>
    <row r="40" spans="1:15" ht="15.75" customHeight="1">
      <c r="A40" s="309"/>
      <c r="B40" s="309"/>
      <c r="C40" s="345"/>
      <c r="D40" s="85" t="s">
        <v>73</v>
      </c>
      <c r="E40" s="85"/>
      <c r="F40" s="85"/>
      <c r="G40" s="85"/>
      <c r="H40" s="85"/>
      <c r="I40" s="400"/>
      <c r="J40" s="309"/>
      <c r="K40" s="317" t="s">
        <v>70</v>
      </c>
      <c r="L40" s="467">
        <f>IF(L37&gt;0,ROUND(L38*L39,3),0)</f>
        <v>0</v>
      </c>
      <c r="M40" s="317" t="s">
        <v>70</v>
      </c>
      <c r="N40" s="352">
        <f>IF(N37&gt;0,ROUND(N38*N39,3),0)</f>
        <v>0</v>
      </c>
      <c r="O40" s="311"/>
    </row>
    <row r="41" spans="1:15" ht="15.75" customHeight="1">
      <c r="A41" s="309"/>
      <c r="B41" s="309"/>
      <c r="C41" s="345"/>
      <c r="D41" s="85" t="s">
        <v>122</v>
      </c>
      <c r="E41" s="85"/>
      <c r="F41" s="85"/>
      <c r="G41" s="85"/>
      <c r="H41" s="85"/>
      <c r="I41" s="400"/>
      <c r="J41" s="309"/>
      <c r="K41" s="317" t="s">
        <v>74</v>
      </c>
      <c r="L41" s="467">
        <v>1.278</v>
      </c>
      <c r="M41" s="317" t="s">
        <v>74</v>
      </c>
      <c r="N41" s="352">
        <v>1.398</v>
      </c>
      <c r="O41" s="311"/>
    </row>
    <row r="42" spans="1:15" ht="15.75" customHeight="1" thickBot="1">
      <c r="A42" s="309"/>
      <c r="B42" s="309"/>
      <c r="C42" s="360"/>
      <c r="D42" s="301" t="s">
        <v>123</v>
      </c>
      <c r="E42" s="301"/>
      <c r="F42" s="301"/>
      <c r="G42" s="301"/>
      <c r="H42" s="301"/>
      <c r="I42" s="405"/>
      <c r="J42" s="406"/>
      <c r="K42" s="318" t="s">
        <v>70</v>
      </c>
      <c r="L42" s="468">
        <f>IF(L37&gt;0,ROUND(+L40+L41,3),0)</f>
        <v>0</v>
      </c>
      <c r="M42" s="318" t="s">
        <v>70</v>
      </c>
      <c r="N42" s="348">
        <f>IF(N37&gt;0,ROUND(+N40+N41,3),0)</f>
        <v>0</v>
      </c>
      <c r="O42" s="311"/>
    </row>
    <row r="43" spans="1:15" ht="15.75" customHeight="1" thickTop="1">
      <c r="A43" s="309"/>
      <c r="B43" s="309"/>
      <c r="C43" s="344" t="s">
        <v>75</v>
      </c>
      <c r="D43" s="85"/>
      <c r="E43" s="85"/>
      <c r="F43" s="279"/>
      <c r="G43" s="279"/>
      <c r="H43" s="279"/>
      <c r="I43" s="400"/>
      <c r="J43" s="309"/>
      <c r="K43" s="288"/>
      <c r="L43" s="107"/>
      <c r="M43" s="345"/>
      <c r="N43" s="347"/>
      <c r="O43" s="311"/>
    </row>
    <row r="44" spans="1:15" ht="15.75" customHeight="1">
      <c r="A44" s="309"/>
      <c r="B44" s="309"/>
      <c r="C44" s="345"/>
      <c r="D44" s="85" t="s">
        <v>67</v>
      </c>
      <c r="E44" s="85"/>
      <c r="F44" s="85"/>
      <c r="G44" s="85"/>
      <c r="H44" s="85"/>
      <c r="I44" s="400"/>
      <c r="J44" s="309"/>
      <c r="K44" s="317"/>
      <c r="L44" s="469">
        <v>600</v>
      </c>
      <c r="M44" s="271"/>
      <c r="N44" s="355">
        <v>600</v>
      </c>
      <c r="O44" s="311"/>
    </row>
    <row r="45" spans="1:15" ht="15.75" customHeight="1">
      <c r="A45" s="309"/>
      <c r="B45" s="309"/>
      <c r="C45" s="345"/>
      <c r="D45" s="85" t="s">
        <v>97</v>
      </c>
      <c r="E45" s="85"/>
      <c r="F45" s="85"/>
      <c r="G45" s="85"/>
      <c r="H45" s="85"/>
      <c r="I45" s="400"/>
      <c r="J45" s="309"/>
      <c r="K45" s="317" t="s">
        <v>68</v>
      </c>
      <c r="L45" s="467">
        <f>IF('Data Entry'!I29&gt;499.999,IF('Data Entry'!I29&lt;600,'Data Entry'!I29,0),0)</f>
        <v>0</v>
      </c>
      <c r="M45" s="317" t="s">
        <v>68</v>
      </c>
      <c r="N45" s="352">
        <f>IF('Data Entry'!L29&gt;499.999,IF('Data Entry'!L29&lt;600,'Data Entry'!L29,0),0)</f>
        <v>0</v>
      </c>
      <c r="O45" s="311"/>
    </row>
    <row r="46" spans="1:15" ht="15.75" customHeight="1">
      <c r="A46" s="309"/>
      <c r="B46" s="309"/>
      <c r="C46" s="345"/>
      <c r="D46" s="85" t="s">
        <v>69</v>
      </c>
      <c r="E46" s="85"/>
      <c r="F46" s="85"/>
      <c r="G46" s="85"/>
      <c r="H46" s="85"/>
      <c r="I46" s="400"/>
      <c r="J46" s="309"/>
      <c r="K46" s="317" t="s">
        <v>70</v>
      </c>
      <c r="L46" s="470">
        <f>IF(L45&gt;0,ROUND(+L44-L45,3),0)</f>
        <v>0</v>
      </c>
      <c r="M46" s="317" t="s">
        <v>70</v>
      </c>
      <c r="N46" s="353">
        <f>IF(N45&gt;0,ROUND(+N44-N45,3),0)</f>
        <v>0</v>
      </c>
      <c r="O46" s="311"/>
    </row>
    <row r="47" spans="1:15" ht="15.75" customHeight="1">
      <c r="A47" s="309"/>
      <c r="B47" s="309"/>
      <c r="C47" s="345"/>
      <c r="D47" s="85" t="s">
        <v>71</v>
      </c>
      <c r="E47" s="85"/>
      <c r="F47" s="85"/>
      <c r="G47" s="85"/>
      <c r="H47" s="85"/>
      <c r="I47" s="400"/>
      <c r="J47" s="309"/>
      <c r="K47" s="317" t="s">
        <v>72</v>
      </c>
      <c r="L47" s="467">
        <v>0.0012</v>
      </c>
      <c r="M47" s="317" t="s">
        <v>72</v>
      </c>
      <c r="N47" s="352">
        <v>0.0013</v>
      </c>
      <c r="O47" s="311"/>
    </row>
    <row r="48" spans="1:15" ht="15.75" customHeight="1">
      <c r="A48" s="309"/>
      <c r="B48" s="309"/>
      <c r="C48" s="345"/>
      <c r="D48" s="85" t="s">
        <v>73</v>
      </c>
      <c r="E48" s="85"/>
      <c r="F48" s="85"/>
      <c r="G48" s="85"/>
      <c r="H48" s="85"/>
      <c r="I48" s="400"/>
      <c r="J48" s="309"/>
      <c r="K48" s="317" t="s">
        <v>70</v>
      </c>
      <c r="L48" s="467">
        <f>IF(L45&gt;0,ROUND(L46*L47,3),0)</f>
        <v>0</v>
      </c>
      <c r="M48" s="317" t="s">
        <v>70</v>
      </c>
      <c r="N48" s="352">
        <f>IF(N45&gt;0,ROUND(N46*N47,3),0)</f>
        <v>0</v>
      </c>
      <c r="O48" s="311"/>
    </row>
    <row r="49" spans="1:15" ht="15.75" customHeight="1">
      <c r="A49" s="309"/>
      <c r="B49" s="309"/>
      <c r="C49" s="345"/>
      <c r="D49" s="85" t="s">
        <v>122</v>
      </c>
      <c r="E49" s="85"/>
      <c r="F49" s="85"/>
      <c r="G49" s="85"/>
      <c r="H49" s="85"/>
      <c r="I49" s="400"/>
      <c r="J49" s="309"/>
      <c r="K49" s="317" t="s">
        <v>74</v>
      </c>
      <c r="L49" s="467">
        <v>1.158</v>
      </c>
      <c r="M49" s="317" t="s">
        <v>74</v>
      </c>
      <c r="N49" s="352">
        <v>1.268</v>
      </c>
      <c r="O49" s="311"/>
    </row>
    <row r="50" spans="1:15" ht="15.75" customHeight="1" thickBot="1">
      <c r="A50" s="309"/>
      <c r="B50" s="309"/>
      <c r="C50" s="360"/>
      <c r="D50" s="301" t="s">
        <v>123</v>
      </c>
      <c r="E50" s="301"/>
      <c r="F50" s="301"/>
      <c r="G50" s="301"/>
      <c r="H50" s="301"/>
      <c r="I50" s="405"/>
      <c r="J50" s="406"/>
      <c r="K50" s="318" t="s">
        <v>70</v>
      </c>
      <c r="L50" s="468">
        <f>IF(L45&gt;0,ROUND(+L48+L49,3),0)</f>
        <v>0</v>
      </c>
      <c r="M50" s="318" t="s">
        <v>70</v>
      </c>
      <c r="N50" s="348">
        <f>IF(N45&gt;0,ROUND(+N48+N49,3),0)</f>
        <v>0</v>
      </c>
      <c r="O50" s="311"/>
    </row>
    <row r="51" spans="1:15" ht="15.75" customHeight="1" thickTop="1">
      <c r="A51" s="309"/>
      <c r="B51" s="309"/>
      <c r="C51" s="344" t="s">
        <v>124</v>
      </c>
      <c r="D51" s="85"/>
      <c r="E51" s="85"/>
      <c r="F51" s="280"/>
      <c r="G51" s="280"/>
      <c r="H51" s="279"/>
      <c r="I51" s="400"/>
      <c r="J51" s="309"/>
      <c r="K51" s="288"/>
      <c r="L51" s="85"/>
      <c r="M51" s="345"/>
      <c r="N51" s="347"/>
      <c r="O51" s="311"/>
    </row>
    <row r="52" spans="1:15" ht="15.75" customHeight="1" thickBot="1">
      <c r="A52" s="309"/>
      <c r="B52" s="309"/>
      <c r="C52" s="272"/>
      <c r="D52" s="301" t="s">
        <v>123</v>
      </c>
      <c r="E52" s="301"/>
      <c r="F52" s="301"/>
      <c r="G52" s="301"/>
      <c r="H52" s="301"/>
      <c r="I52" s="405"/>
      <c r="J52" s="406"/>
      <c r="K52" s="300"/>
      <c r="L52" s="466">
        <v>1.158</v>
      </c>
      <c r="M52" s="417"/>
      <c r="N52" s="348">
        <v>1.268</v>
      </c>
      <c r="O52" s="311"/>
    </row>
    <row r="53" spans="1:15" ht="15.75" customHeight="1" thickTop="1">
      <c r="A53" s="309"/>
      <c r="B53" s="309"/>
      <c r="C53" s="309"/>
      <c r="D53" s="309"/>
      <c r="E53" s="400"/>
      <c r="F53" s="400"/>
      <c r="G53" s="400"/>
      <c r="H53" s="309"/>
      <c r="I53" s="400"/>
      <c r="J53" s="309"/>
      <c r="K53" s="309"/>
      <c r="L53" s="311"/>
      <c r="M53" s="311"/>
      <c r="N53" s="309"/>
      <c r="O53" s="311"/>
    </row>
    <row r="54" spans="1:15" ht="15.75" customHeight="1">
      <c r="A54" s="309"/>
      <c r="B54" s="309"/>
      <c r="C54" s="309"/>
      <c r="D54" s="309"/>
      <c r="E54" s="400"/>
      <c r="F54" s="400"/>
      <c r="G54" s="400"/>
      <c r="H54" s="309"/>
      <c r="I54" s="400"/>
      <c r="J54" s="309"/>
      <c r="K54" s="309"/>
      <c r="L54" s="311"/>
      <c r="M54" s="311"/>
      <c r="N54" s="309"/>
      <c r="O54" s="311"/>
    </row>
    <row r="55" spans="1:15" ht="15.75" customHeight="1">
      <c r="A55" s="309"/>
      <c r="B55" s="309"/>
      <c r="C55" s="309"/>
      <c r="D55" s="309"/>
      <c r="E55" s="400"/>
      <c r="F55" s="400"/>
      <c r="G55" s="400"/>
      <c r="H55" s="309"/>
      <c r="I55" s="400"/>
      <c r="J55" s="309"/>
      <c r="K55" s="309"/>
      <c r="L55" s="311"/>
      <c r="M55" s="311"/>
      <c r="N55" s="309"/>
      <c r="O55" s="311"/>
    </row>
    <row r="56" spans="1:15" ht="15.75" customHeight="1">
      <c r="A56" s="309"/>
      <c r="B56" s="273" t="s">
        <v>194</v>
      </c>
      <c r="C56" s="273"/>
      <c r="D56" s="85"/>
      <c r="E56" s="85"/>
      <c r="F56" s="85"/>
      <c r="G56" s="400"/>
      <c r="H56" s="309"/>
      <c r="I56" s="400"/>
      <c r="J56" s="309"/>
      <c r="K56" s="309"/>
      <c r="L56" s="311"/>
      <c r="M56" s="311"/>
      <c r="N56" s="309"/>
      <c r="O56" s="311"/>
    </row>
    <row r="57" spans="1:15" ht="15.75" customHeight="1">
      <c r="A57" s="309"/>
      <c r="B57" s="308">
        <v>1</v>
      </c>
      <c r="C57" s="85" t="s">
        <v>127</v>
      </c>
      <c r="D57" s="85"/>
      <c r="E57" s="85"/>
      <c r="F57" s="85"/>
      <c r="G57" s="400"/>
      <c r="H57" s="309"/>
      <c r="I57" s="400"/>
      <c r="J57" s="309"/>
      <c r="K57" s="309"/>
      <c r="L57" s="302">
        <f>IF('Data Entry'!I20&gt;0,IF('Data Entry'!I20&lt;100,L9,IF('Data Entry'!I20&lt;500,L17,IF('Data Entry'!I20&lt;600,L25,L27))),0)</f>
        <v>0</v>
      </c>
      <c r="M57" s="311"/>
      <c r="N57" s="104">
        <f>IF('Data Entry'!L20&gt;0,IF('Data Entry'!L20&lt;100,N9,IF('Data Entry'!L20&lt;500,N17,IF('Data Entry'!L20&lt;600,N25,N27))),0)</f>
        <v>1.268</v>
      </c>
      <c r="O57" s="311"/>
    </row>
    <row r="58" spans="1:15" ht="15.75" customHeight="1">
      <c r="A58" s="309"/>
      <c r="B58" s="308">
        <v>2</v>
      </c>
      <c r="C58" s="85" t="s">
        <v>128</v>
      </c>
      <c r="D58" s="85"/>
      <c r="E58" s="85"/>
      <c r="F58" s="85"/>
      <c r="G58" s="400"/>
      <c r="H58" s="309"/>
      <c r="I58" s="400"/>
      <c r="J58" s="309"/>
      <c r="K58" s="309"/>
      <c r="L58" s="104">
        <f>IF(AND('Data Entry'!I29=0,'Data Entry'!$A$7="X"),1.158,IF('Data Entry'!I29&gt;0,IF('Data Entry'!I29&lt;100,L34,IF('Data Entry'!I29&lt;500,L42,IF('Data Entry'!I29&lt;600,L50,L52))),0))</f>
        <v>0</v>
      </c>
      <c r="M58" s="311"/>
      <c r="N58" s="104">
        <f>IF(AND('Data Entry'!L29=0,'Data Entry'!$A$7="X"),1.268,IF('Data Entry'!L29&gt;0,IF('Data Entry'!L29&lt;100,N34,IF('Data Entry'!L29&lt;500,N42,IF('Data Entry'!L29&lt;600,N50,N52))),0))</f>
        <v>0</v>
      </c>
      <c r="O58" s="311"/>
    </row>
    <row r="59" spans="1:15" ht="15.75" customHeight="1">
      <c r="A59" s="309"/>
      <c r="B59" s="308">
        <v>3</v>
      </c>
      <c r="C59" s="295" t="s">
        <v>144</v>
      </c>
      <c r="D59" s="295"/>
      <c r="E59" s="295"/>
      <c r="F59" s="295"/>
      <c r="G59" s="400"/>
      <c r="H59" s="309"/>
      <c r="I59" s="400"/>
      <c r="J59" s="309"/>
      <c r="K59" s="309"/>
      <c r="L59" s="350">
        <f>IF('Data Entry'!$A$7="X",L57-L58,0)</f>
        <v>0</v>
      </c>
      <c r="M59" s="311"/>
      <c r="N59" s="350">
        <f>IF('Data Entry'!$A$7="X",N57-N58,0)</f>
        <v>0</v>
      </c>
      <c r="O59" s="311"/>
    </row>
    <row r="60" spans="1:15" ht="15.75" customHeight="1">
      <c r="A60" s="309"/>
      <c r="B60" s="309"/>
      <c r="C60" s="309"/>
      <c r="D60" s="309"/>
      <c r="E60" s="400"/>
      <c r="F60" s="400"/>
      <c r="G60" s="400"/>
      <c r="H60" s="309"/>
      <c r="I60" s="400"/>
      <c r="J60" s="309"/>
      <c r="K60" s="309"/>
      <c r="L60" s="311"/>
      <c r="M60" s="311"/>
      <c r="N60" s="309"/>
      <c r="O60" s="311"/>
    </row>
    <row r="61" spans="1:15" ht="15.75" customHeight="1">
      <c r="A61" s="309"/>
      <c r="B61" s="309"/>
      <c r="C61" s="309"/>
      <c r="D61" s="309"/>
      <c r="E61" s="400"/>
      <c r="F61" s="400"/>
      <c r="G61" s="400"/>
      <c r="H61" s="309"/>
      <c r="I61" s="400"/>
      <c r="J61" s="309"/>
      <c r="K61" s="309"/>
      <c r="L61" s="311"/>
      <c r="M61" s="311"/>
      <c r="N61" s="309"/>
      <c r="O61" s="311"/>
    </row>
    <row r="63" spans="1:14" ht="12.75">
      <c r="A63" s="307"/>
      <c r="B63" s="273" t="s">
        <v>193</v>
      </c>
      <c r="D63" s="307"/>
      <c r="E63" s="307"/>
      <c r="F63" s="307"/>
      <c r="G63" s="307"/>
      <c r="H63" s="291"/>
      <c r="I63" s="291"/>
      <c r="J63" s="291"/>
      <c r="L63" s="310" t="s">
        <v>63</v>
      </c>
      <c r="M63" s="291"/>
      <c r="N63" s="311" t="s">
        <v>64</v>
      </c>
    </row>
    <row r="64" spans="2:16" ht="12.75">
      <c r="B64" s="443">
        <v>1</v>
      </c>
      <c r="C64" s="291" t="s">
        <v>76</v>
      </c>
      <c r="D64" s="291"/>
      <c r="E64" s="291"/>
      <c r="F64" s="291"/>
      <c r="G64" s="291"/>
      <c r="H64" s="291"/>
      <c r="I64" s="291"/>
      <c r="J64" s="291"/>
      <c r="L64" s="438">
        <f>'Data Entry'!I17</f>
        <v>0</v>
      </c>
      <c r="N64" s="438">
        <f>'Data Entry'!L17</f>
        <v>800</v>
      </c>
      <c r="P64" s="419"/>
    </row>
    <row r="65" spans="2:16" ht="12.75">
      <c r="B65" s="443">
        <v>2</v>
      </c>
      <c r="C65" s="291" t="s">
        <v>175</v>
      </c>
      <c r="D65" s="291"/>
      <c r="E65" s="291"/>
      <c r="F65" s="291"/>
      <c r="G65" s="291"/>
      <c r="H65" s="291"/>
      <c r="I65" s="291"/>
      <c r="J65" s="291"/>
      <c r="L65" s="439">
        <f>'Data Entry'!I18*95%</f>
        <v>0</v>
      </c>
      <c r="N65" s="440">
        <f>'Data Entry'!L18*95%</f>
        <v>0</v>
      </c>
      <c r="P65" s="419"/>
    </row>
    <row r="66" spans="2:14" ht="12.75">
      <c r="B66" s="443">
        <v>3</v>
      </c>
      <c r="C66" s="291" t="s">
        <v>176</v>
      </c>
      <c r="D66" s="291"/>
      <c r="E66" s="291"/>
      <c r="F66" s="291"/>
      <c r="G66" s="291"/>
      <c r="H66" s="291"/>
      <c r="I66" s="291"/>
      <c r="L66" s="440">
        <f>'Data Entry'!I19*85%</f>
        <v>0</v>
      </c>
      <c r="N66" s="440">
        <f>'Data Entry'!L19*85%</f>
        <v>0</v>
      </c>
    </row>
    <row r="67" spans="2:14" ht="12.75">
      <c r="B67" s="308">
        <v>4</v>
      </c>
      <c r="C67" s="291" t="s">
        <v>132</v>
      </c>
      <c r="D67" s="291"/>
      <c r="E67" s="291"/>
      <c r="F67" s="291"/>
      <c r="G67" s="291"/>
      <c r="H67" s="291"/>
      <c r="I67" s="291"/>
      <c r="L67" s="439">
        <f>SUM(L64:L66)</f>
        <v>0</v>
      </c>
      <c r="N67" s="439">
        <f>SUM(N64:N66)</f>
        <v>800</v>
      </c>
    </row>
    <row r="68" spans="2:14" ht="12.75">
      <c r="B68" s="308">
        <v>5</v>
      </c>
      <c r="C68" s="291" t="s">
        <v>129</v>
      </c>
      <c r="D68" s="291"/>
      <c r="E68" s="291"/>
      <c r="F68" s="291"/>
      <c r="G68" s="291"/>
      <c r="H68" s="291"/>
      <c r="I68" s="291"/>
      <c r="L68" s="439">
        <f>L59</f>
        <v>0</v>
      </c>
      <c r="N68" s="439">
        <f>N59</f>
        <v>0</v>
      </c>
    </row>
    <row r="69" spans="2:14" ht="12.75">
      <c r="B69" s="308">
        <v>6</v>
      </c>
      <c r="C69" s="291" t="s">
        <v>130</v>
      </c>
      <c r="D69" s="291"/>
      <c r="E69" s="291"/>
      <c r="F69" s="291"/>
      <c r="G69" s="291"/>
      <c r="H69" s="291"/>
      <c r="I69" s="291"/>
      <c r="L69" s="439">
        <f>L67*L68</f>
        <v>0</v>
      </c>
      <c r="N69" s="439">
        <f>N67*N68</f>
        <v>0</v>
      </c>
    </row>
    <row r="70" spans="2:14" ht="12.75">
      <c r="B70" s="308">
        <v>7</v>
      </c>
      <c r="C70" s="291" t="s">
        <v>269</v>
      </c>
      <c r="D70" s="291"/>
      <c r="E70" s="291"/>
      <c r="F70" s="291"/>
      <c r="G70" s="291"/>
      <c r="H70" s="291"/>
      <c r="I70" s="291"/>
      <c r="K70" s="341" t="s">
        <v>289</v>
      </c>
      <c r="L70" s="489">
        <f>IF('Data Entry'!C61="X",(4150.43*0.05)+4150.43,4150.43)</f>
        <v>4150.43</v>
      </c>
      <c r="M70" s="490" t="s">
        <v>289</v>
      </c>
      <c r="N70" s="489">
        <f>IF('Data Entry'!C61="X",(4150.43*0.05)+4150.43,4150.43)</f>
        <v>4150.43</v>
      </c>
    </row>
    <row r="71" spans="2:14" ht="12.75">
      <c r="B71" s="308">
        <v>8</v>
      </c>
      <c r="C71" s="291" t="s">
        <v>181</v>
      </c>
      <c r="D71" s="291"/>
      <c r="E71" s="291"/>
      <c r="F71" s="291"/>
      <c r="G71" s="291"/>
      <c r="H71" s="291"/>
      <c r="I71" s="291"/>
      <c r="K71" s="341" t="s">
        <v>289</v>
      </c>
      <c r="L71" s="328">
        <f>L69*L70</f>
        <v>0</v>
      </c>
      <c r="M71" s="341" t="s">
        <v>289</v>
      </c>
      <c r="N71" s="328">
        <f>N69*N70</f>
        <v>0</v>
      </c>
    </row>
    <row r="72" spans="2:14" ht="13.5" thickBot="1">
      <c r="B72" s="308">
        <v>9</v>
      </c>
      <c r="C72" s="291" t="s">
        <v>131</v>
      </c>
      <c r="D72" s="291"/>
      <c r="E72" s="291"/>
      <c r="F72" s="291"/>
      <c r="G72" s="291"/>
      <c r="H72" s="291"/>
      <c r="I72" s="291"/>
      <c r="M72" s="341" t="s">
        <v>289</v>
      </c>
      <c r="N72" s="334">
        <f>L71+N71</f>
        <v>0</v>
      </c>
    </row>
    <row r="73" ht="12.75" thickTop="1"/>
    <row r="74" spans="1:6" ht="12.75">
      <c r="A74" s="307"/>
      <c r="C74" s="307"/>
      <c r="D74" s="307"/>
      <c r="E74" s="307"/>
      <c r="F74" s="307"/>
    </row>
    <row r="75" spans="1:31" ht="12.75">
      <c r="A75" s="307"/>
      <c r="B75" s="421" t="s">
        <v>192</v>
      </c>
      <c r="C75" s="307"/>
      <c r="D75" s="307"/>
      <c r="E75" s="307"/>
      <c r="F75" s="307"/>
      <c r="T75" s="553"/>
      <c r="U75" s="553"/>
      <c r="V75" s="553"/>
      <c r="W75" s="553"/>
      <c r="X75" s="553"/>
      <c r="Y75" s="553"/>
      <c r="Z75" s="553"/>
      <c r="AA75" s="553"/>
      <c r="AB75" s="553"/>
      <c r="AC75" s="553"/>
      <c r="AD75" s="553"/>
      <c r="AE75" s="553"/>
    </row>
    <row r="76" spans="2:16" ht="12.75" customHeight="1">
      <c r="B76" s="674" t="s">
        <v>211</v>
      </c>
      <c r="C76" s="674"/>
      <c r="D76" s="674"/>
      <c r="E76" s="674"/>
      <c r="F76" s="674"/>
      <c r="G76" s="674"/>
      <c r="H76" s="674"/>
      <c r="I76" s="674"/>
      <c r="J76" s="674"/>
      <c r="K76" s="674"/>
      <c r="L76" s="674"/>
      <c r="M76" s="674"/>
      <c r="N76" s="674"/>
      <c r="O76" s="674"/>
      <c r="P76" s="419"/>
    </row>
    <row r="77" spans="2:16" ht="12.75" customHeight="1">
      <c r="B77" s="674"/>
      <c r="C77" s="674"/>
      <c r="D77" s="674"/>
      <c r="E77" s="674"/>
      <c r="F77" s="674"/>
      <c r="G77" s="674"/>
      <c r="H77" s="674"/>
      <c r="I77" s="674"/>
      <c r="J77" s="674"/>
      <c r="K77" s="674"/>
      <c r="L77" s="674"/>
      <c r="M77" s="674"/>
      <c r="N77" s="674"/>
      <c r="O77" s="674"/>
      <c r="P77" s="419"/>
    </row>
    <row r="78" spans="2:16" ht="12.75" customHeight="1">
      <c r="B78" s="674"/>
      <c r="C78" s="674"/>
      <c r="D78" s="674"/>
      <c r="E78" s="674"/>
      <c r="F78" s="674"/>
      <c r="G78" s="674"/>
      <c r="H78" s="674"/>
      <c r="I78" s="674"/>
      <c r="J78" s="674"/>
      <c r="K78" s="674"/>
      <c r="L78" s="674"/>
      <c r="M78" s="674"/>
      <c r="N78" s="674"/>
      <c r="O78" s="674"/>
      <c r="P78" s="419"/>
    </row>
    <row r="79" spans="2:16" ht="12.75" customHeight="1">
      <c r="B79" s="674"/>
      <c r="C79" s="674"/>
      <c r="D79" s="674"/>
      <c r="E79" s="674"/>
      <c r="F79" s="674"/>
      <c r="G79" s="674"/>
      <c r="H79" s="674"/>
      <c r="I79" s="674"/>
      <c r="J79" s="674"/>
      <c r="K79" s="674"/>
      <c r="L79" s="674"/>
      <c r="M79" s="674"/>
      <c r="N79" s="674"/>
      <c r="O79" s="674"/>
      <c r="P79" s="419"/>
    </row>
    <row r="80" spans="2:16" ht="12.75" customHeight="1">
      <c r="B80" s="674"/>
      <c r="C80" s="674"/>
      <c r="D80" s="674"/>
      <c r="E80" s="674"/>
      <c r="F80" s="674"/>
      <c r="G80" s="674"/>
      <c r="H80" s="674"/>
      <c r="I80" s="674"/>
      <c r="J80" s="674"/>
      <c r="K80" s="674"/>
      <c r="L80" s="674"/>
      <c r="M80" s="674"/>
      <c r="N80" s="674"/>
      <c r="O80" s="674"/>
      <c r="P80" s="419"/>
    </row>
    <row r="81" spans="2:16" ht="12.75" customHeight="1">
      <c r="B81" s="674"/>
      <c r="C81" s="674"/>
      <c r="D81" s="674"/>
      <c r="E81" s="674"/>
      <c r="F81" s="674"/>
      <c r="G81" s="674"/>
      <c r="H81" s="674"/>
      <c r="I81" s="674"/>
      <c r="J81" s="674"/>
      <c r="K81" s="674"/>
      <c r="L81" s="674"/>
      <c r="M81" s="674"/>
      <c r="N81" s="674"/>
      <c r="O81" s="674"/>
      <c r="P81" s="419"/>
    </row>
    <row r="82" spans="2:16" ht="12.75" customHeight="1">
      <c r="B82" s="444"/>
      <c r="C82" s="444"/>
      <c r="D82" s="444"/>
      <c r="E82" s="444"/>
      <c r="F82" s="444"/>
      <c r="G82" s="444"/>
      <c r="H82" s="444"/>
      <c r="I82" s="444"/>
      <c r="J82" s="444"/>
      <c r="K82" s="444"/>
      <c r="L82" s="444"/>
      <c r="M82" s="444"/>
      <c r="N82" s="444"/>
      <c r="O82" s="444"/>
      <c r="P82" s="419"/>
    </row>
    <row r="83" spans="2:26" ht="12.75">
      <c r="B83" s="672" t="s">
        <v>91</v>
      </c>
      <c r="C83" s="672"/>
      <c r="D83" s="672"/>
      <c r="E83" s="672"/>
      <c r="F83" s="672"/>
      <c r="G83" s="672"/>
      <c r="H83" s="291"/>
      <c r="M83" s="341"/>
      <c r="N83" s="335"/>
      <c r="V83" s="296"/>
      <c r="W83" s="296"/>
      <c r="X83" s="296"/>
      <c r="Y83" s="296"/>
      <c r="Z83" s="296"/>
    </row>
    <row r="84" spans="2:18" ht="12.75" customHeight="1">
      <c r="B84" s="291"/>
      <c r="C84" s="291"/>
      <c r="D84" s="291"/>
      <c r="E84" s="365"/>
      <c r="F84" s="312" t="s">
        <v>81</v>
      </c>
      <c r="G84" s="423" t="s">
        <v>80</v>
      </c>
      <c r="H84" s="425"/>
      <c r="M84" s="341"/>
      <c r="N84" s="335"/>
      <c r="R84" s="365"/>
    </row>
    <row r="85" spans="2:18" ht="12.75">
      <c r="B85" s="291" t="s">
        <v>92</v>
      </c>
      <c r="C85" s="291"/>
      <c r="D85" s="291"/>
      <c r="E85" s="323"/>
      <c r="F85" s="313">
        <f>'Data Entry'!I39*0.06</f>
        <v>0</v>
      </c>
      <c r="G85" s="424">
        <f>'Data Entry'!I38*0.04</f>
        <v>0</v>
      </c>
      <c r="H85" s="426"/>
      <c r="N85" s="402"/>
      <c r="R85" s="323"/>
    </row>
    <row r="86" spans="2:18" ht="12.75" customHeight="1">
      <c r="B86" s="291" t="s">
        <v>93</v>
      </c>
      <c r="C86" s="291"/>
      <c r="D86" s="291"/>
      <c r="E86" s="323"/>
      <c r="F86" s="313">
        <f>'Data Entry'!J39*0.06*0.95</f>
        <v>0</v>
      </c>
      <c r="G86" s="424">
        <f>'Data Entry'!J38*0.04*0.95</f>
        <v>0</v>
      </c>
      <c r="H86" s="426"/>
      <c r="M86" s="341"/>
      <c r="N86" s="335"/>
      <c r="Q86" s="291"/>
      <c r="R86" s="323"/>
    </row>
    <row r="87" spans="2:18" ht="12.75" customHeight="1">
      <c r="B87" s="291" t="s">
        <v>94</v>
      </c>
      <c r="C87" s="427"/>
      <c r="D87" s="427"/>
      <c r="E87" s="323"/>
      <c r="F87" s="313">
        <f>'Data Entry'!K39*0.06*0.85</f>
        <v>0</v>
      </c>
      <c r="G87" s="424">
        <f>'Data Entry'!K38*0.04*0.85</f>
        <v>0</v>
      </c>
      <c r="H87" s="426"/>
      <c r="I87" s="291"/>
      <c r="L87" s="85" t="s">
        <v>81</v>
      </c>
      <c r="M87" s="437" t="s">
        <v>289</v>
      </c>
      <c r="N87" s="435">
        <f>L70*F88</f>
        <v>0</v>
      </c>
      <c r="Q87" s="365"/>
      <c r="R87" s="323"/>
    </row>
    <row r="88" spans="2:18" ht="12.75">
      <c r="B88" s="291" t="s">
        <v>487</v>
      </c>
      <c r="C88" s="427"/>
      <c r="D88" s="427"/>
      <c r="E88" s="323"/>
      <c r="F88" s="313">
        <f>SUM(F85:F87)</f>
        <v>0</v>
      </c>
      <c r="G88" s="424">
        <f>SUM(G85:G87)</f>
        <v>0</v>
      </c>
      <c r="H88" s="426"/>
      <c r="I88" s="291"/>
      <c r="L88" s="85" t="s">
        <v>80</v>
      </c>
      <c r="M88" s="437" t="s">
        <v>289</v>
      </c>
      <c r="N88" s="436">
        <f>L70*G88</f>
        <v>0</v>
      </c>
      <c r="P88" s="291"/>
      <c r="Q88" s="323"/>
      <c r="R88" s="323"/>
    </row>
    <row r="89" spans="2:17" ht="12.75" customHeight="1">
      <c r="B89" s="427"/>
      <c r="C89" s="427"/>
      <c r="D89" s="427"/>
      <c r="E89" s="291"/>
      <c r="F89" s="427"/>
      <c r="G89" s="427"/>
      <c r="H89" s="427"/>
      <c r="I89" s="291"/>
      <c r="M89" s="341"/>
      <c r="N89" s="335"/>
      <c r="P89" s="291"/>
      <c r="Q89" s="323"/>
    </row>
    <row r="90" spans="1:17" ht="12.75" customHeight="1">
      <c r="A90" s="428"/>
      <c r="B90" s="673" t="s">
        <v>95</v>
      </c>
      <c r="C90" s="673"/>
      <c r="D90" s="673"/>
      <c r="E90" s="673"/>
      <c r="F90" s="673"/>
      <c r="G90" s="673"/>
      <c r="H90" s="427"/>
      <c r="I90" s="291"/>
      <c r="M90" s="341"/>
      <c r="N90" s="335"/>
      <c r="P90" s="291"/>
      <c r="Q90" s="323"/>
    </row>
    <row r="91" spans="1:17" ht="12.75">
      <c r="A91" s="117"/>
      <c r="B91" s="673"/>
      <c r="C91" s="673"/>
      <c r="D91" s="673"/>
      <c r="E91" s="673"/>
      <c r="F91" s="673"/>
      <c r="G91" s="673"/>
      <c r="H91" s="291"/>
      <c r="I91" s="291"/>
      <c r="M91" s="341"/>
      <c r="N91" s="335"/>
      <c r="P91" s="291"/>
      <c r="Q91" s="323"/>
    </row>
    <row r="92" spans="1:18" ht="12.75" customHeight="1">
      <c r="A92" s="117"/>
      <c r="B92" s="117"/>
      <c r="C92" s="117"/>
      <c r="M92" s="336"/>
      <c r="N92" s="420"/>
      <c r="P92" s="635"/>
      <c r="Q92" s="635"/>
      <c r="R92" s="635"/>
    </row>
    <row r="93" spans="1:18" ht="12.75" customHeight="1">
      <c r="A93" s="117"/>
      <c r="B93" s="117"/>
      <c r="C93" s="117"/>
      <c r="D93" s="291"/>
      <c r="F93" s="308"/>
      <c r="G93" s="291"/>
      <c r="H93" s="291"/>
      <c r="I93" s="291"/>
      <c r="L93" s="85"/>
      <c r="M93" s="341"/>
      <c r="N93" s="422"/>
      <c r="P93" s="635"/>
      <c r="Q93" s="635"/>
      <c r="R93" s="635"/>
    </row>
    <row r="94" spans="1:18" ht="12.75">
      <c r="A94" s="117"/>
      <c r="B94" s="117"/>
      <c r="C94" s="117"/>
      <c r="L94" s="85"/>
      <c r="M94" s="341"/>
      <c r="N94" s="422"/>
      <c r="P94" s="314"/>
      <c r="Q94" s="314"/>
      <c r="R94" s="314"/>
    </row>
    <row r="95" spans="1:18" ht="12.75">
      <c r="A95" s="117"/>
      <c r="B95" s="117"/>
      <c r="C95" s="117"/>
      <c r="L95" s="85"/>
      <c r="M95" s="341"/>
      <c r="N95" s="327"/>
      <c r="P95" s="314"/>
      <c r="Q95" s="314"/>
      <c r="R95" s="314"/>
    </row>
    <row r="96" spans="1:12" ht="12.75">
      <c r="A96" s="307" t="s">
        <v>270</v>
      </c>
      <c r="C96" s="307"/>
      <c r="D96" s="307"/>
      <c r="E96" s="307"/>
      <c r="F96" s="307"/>
      <c r="G96" s="307"/>
      <c r="H96" s="307"/>
      <c r="I96" s="307"/>
      <c r="J96" s="307"/>
      <c r="K96" s="307"/>
      <c r="L96" s="307"/>
    </row>
    <row r="97" spans="1:15" ht="12.75" customHeight="1">
      <c r="A97" s="667" t="s">
        <v>271</v>
      </c>
      <c r="B97" s="667"/>
      <c r="C97" s="667"/>
      <c r="D97" s="667"/>
      <c r="E97" s="667"/>
      <c r="F97" s="667"/>
      <c r="G97" s="667"/>
      <c r="H97" s="667"/>
      <c r="I97" s="667"/>
      <c r="J97" s="667"/>
      <c r="K97" s="667"/>
      <c r="L97" s="667"/>
      <c r="M97" s="667"/>
      <c r="N97" s="667"/>
      <c r="O97" s="667"/>
    </row>
    <row r="98" spans="1:15" ht="12.75" customHeight="1">
      <c r="A98" s="667"/>
      <c r="B98" s="667"/>
      <c r="C98" s="667"/>
      <c r="D98" s="667"/>
      <c r="E98" s="667"/>
      <c r="F98" s="667"/>
      <c r="G98" s="667"/>
      <c r="H98" s="667"/>
      <c r="I98" s="667"/>
      <c r="J98" s="667"/>
      <c r="K98" s="667"/>
      <c r="L98" s="667"/>
      <c r="M98" s="667"/>
      <c r="N98" s="667"/>
      <c r="O98" s="667"/>
    </row>
    <row r="99" spans="1:15" ht="12.75" customHeight="1">
      <c r="A99" s="427"/>
      <c r="B99" s="427"/>
      <c r="C99" s="427"/>
      <c r="D99" s="427"/>
      <c r="E99" s="427"/>
      <c r="F99" s="427"/>
      <c r="G99" s="427"/>
      <c r="H99" s="427"/>
      <c r="I99" s="427"/>
      <c r="J99" s="427"/>
      <c r="K99" s="427"/>
      <c r="L99" s="427"/>
      <c r="M99" s="427"/>
      <c r="N99" s="427"/>
      <c r="O99" s="460"/>
    </row>
    <row r="100" spans="2:14" ht="12.75">
      <c r="B100" s="326"/>
      <c r="J100" s="310"/>
      <c r="L100" s="310" t="s">
        <v>63</v>
      </c>
      <c r="N100" s="310" t="s">
        <v>64</v>
      </c>
    </row>
    <row r="101" spans="2:14" ht="12.75">
      <c r="B101" s="418">
        <v>1</v>
      </c>
      <c r="C101" s="85" t="s">
        <v>267</v>
      </c>
      <c r="J101" s="402"/>
      <c r="K101" s="291" t="s">
        <v>289</v>
      </c>
      <c r="L101" s="333">
        <f>CHAR55!D128</f>
        <v>0</v>
      </c>
      <c r="M101" s="291" t="s">
        <v>289</v>
      </c>
      <c r="N101" s="333">
        <f>CHAR55!E128</f>
        <v>1718520</v>
      </c>
    </row>
    <row r="102" spans="2:14" ht="12.75">
      <c r="B102" s="308">
        <v>2</v>
      </c>
      <c r="C102" s="85" t="s">
        <v>172</v>
      </c>
      <c r="J102" s="335"/>
      <c r="K102" s="291" t="s">
        <v>289</v>
      </c>
      <c r="L102" s="328">
        <f>L101*0.018</f>
        <v>0</v>
      </c>
      <c r="M102" s="291" t="s">
        <v>289</v>
      </c>
      <c r="N102" s="328">
        <f>N101*0.018</f>
        <v>30933.36</v>
      </c>
    </row>
    <row r="103" spans="1:19" ht="15.75">
      <c r="A103" s="331"/>
      <c r="B103" s="329"/>
      <c r="C103" s="329"/>
      <c r="D103" s="329"/>
      <c r="E103" s="329"/>
      <c r="F103" s="329"/>
      <c r="G103" s="329"/>
      <c r="H103" s="329"/>
      <c r="I103" s="329"/>
      <c r="J103" s="329"/>
      <c r="K103" s="329"/>
      <c r="L103" s="329"/>
      <c r="N103" s="330"/>
      <c r="O103" s="330"/>
      <c r="S103" s="332"/>
    </row>
    <row r="104" spans="2:23" ht="12.75">
      <c r="B104" s="308"/>
      <c r="C104" s="291"/>
      <c r="D104" s="291"/>
      <c r="E104" s="291"/>
      <c r="F104" s="291"/>
      <c r="N104" s="335"/>
      <c r="W104" s="332"/>
    </row>
    <row r="105" spans="1:23" ht="12.75">
      <c r="A105" s="273" t="s">
        <v>195</v>
      </c>
      <c r="B105" s="273"/>
      <c r="C105" s="273"/>
      <c r="D105" s="273"/>
      <c r="E105" s="273"/>
      <c r="F105" s="273"/>
      <c r="G105" s="273"/>
      <c r="H105" s="273"/>
      <c r="I105" s="273"/>
      <c r="J105" s="273"/>
      <c r="K105" s="273"/>
      <c r="L105" s="273"/>
      <c r="N105" s="335"/>
      <c r="W105" s="332"/>
    </row>
    <row r="106" spans="1:23" ht="12.75" customHeight="1">
      <c r="A106" s="671" t="s">
        <v>177</v>
      </c>
      <c r="B106" s="671"/>
      <c r="C106" s="671"/>
      <c r="D106" s="671"/>
      <c r="E106" s="671"/>
      <c r="F106" s="671"/>
      <c r="G106" s="671"/>
      <c r="H106" s="671"/>
      <c r="I106" s="671"/>
      <c r="J106" s="671"/>
      <c r="K106" s="671"/>
      <c r="L106" s="671"/>
      <c r="M106" s="671"/>
      <c r="N106" s="671"/>
      <c r="O106" s="671"/>
      <c r="W106" s="332"/>
    </row>
    <row r="107" spans="1:23" ht="12.75" customHeight="1">
      <c r="A107" s="671"/>
      <c r="B107" s="671"/>
      <c r="C107" s="671"/>
      <c r="D107" s="671"/>
      <c r="E107" s="671"/>
      <c r="F107" s="671"/>
      <c r="G107" s="671"/>
      <c r="H107" s="671"/>
      <c r="I107" s="671"/>
      <c r="J107" s="671"/>
      <c r="K107" s="671"/>
      <c r="L107" s="671"/>
      <c r="M107" s="671"/>
      <c r="N107" s="671"/>
      <c r="O107" s="671"/>
      <c r="W107" s="332"/>
    </row>
    <row r="108" spans="1:23" ht="12.75" customHeight="1">
      <c r="A108" s="671"/>
      <c r="B108" s="671"/>
      <c r="C108" s="671"/>
      <c r="D108" s="671"/>
      <c r="E108" s="671"/>
      <c r="F108" s="671"/>
      <c r="G108" s="671"/>
      <c r="H108" s="671"/>
      <c r="I108" s="671"/>
      <c r="J108" s="671"/>
      <c r="K108" s="671"/>
      <c r="L108" s="671"/>
      <c r="M108" s="671"/>
      <c r="N108" s="671"/>
      <c r="O108" s="671"/>
      <c r="W108" s="332"/>
    </row>
    <row r="109" spans="1:23" ht="12.75" customHeight="1">
      <c r="A109" s="671"/>
      <c r="B109" s="671"/>
      <c r="C109" s="671"/>
      <c r="D109" s="671"/>
      <c r="E109" s="671"/>
      <c r="F109" s="671"/>
      <c r="G109" s="671"/>
      <c r="H109" s="671"/>
      <c r="I109" s="671"/>
      <c r="J109" s="671"/>
      <c r="K109" s="671"/>
      <c r="L109" s="671"/>
      <c r="M109" s="671"/>
      <c r="N109" s="671"/>
      <c r="O109" s="671"/>
      <c r="W109" s="332"/>
    </row>
    <row r="110" spans="1:23" ht="12.75">
      <c r="A110" s="275"/>
      <c r="B110" s="275"/>
      <c r="C110" s="275"/>
      <c r="D110" s="275"/>
      <c r="E110" s="275"/>
      <c r="F110" s="275"/>
      <c r="G110" s="275"/>
      <c r="H110" s="275"/>
      <c r="I110" s="275"/>
      <c r="J110" s="275"/>
      <c r="K110" s="275"/>
      <c r="L110" s="275"/>
      <c r="N110" s="335"/>
      <c r="W110" s="332"/>
    </row>
    <row r="111" spans="2:25" ht="12.75">
      <c r="B111" s="418">
        <v>1</v>
      </c>
      <c r="C111" s="85" t="s">
        <v>149</v>
      </c>
      <c r="D111" s="291"/>
      <c r="E111" s="291"/>
      <c r="F111" s="291"/>
      <c r="M111" s="437" t="s">
        <v>289</v>
      </c>
      <c r="N111" s="435">
        <f>50000000*'Data Entry'!N76</f>
        <v>30000</v>
      </c>
      <c r="T111" s="336"/>
      <c r="X111" s="666"/>
      <c r="Y111" s="666"/>
    </row>
    <row r="112" spans="2:14" ht="12.75">
      <c r="B112" s="308"/>
      <c r="C112" s="291"/>
      <c r="D112" s="291"/>
      <c r="E112" s="291"/>
      <c r="F112" s="291"/>
      <c r="N112" s="335"/>
    </row>
    <row r="114" ht="12.75">
      <c r="A114" s="273" t="s">
        <v>278</v>
      </c>
    </row>
    <row r="115" spans="2:14" ht="12.75">
      <c r="B115" s="418">
        <v>1</v>
      </c>
      <c r="C115" s="85" t="s">
        <v>274</v>
      </c>
      <c r="M115" s="437" t="s">
        <v>289</v>
      </c>
      <c r="N115" s="435">
        <f>CHAR55!C135</f>
        <v>5928716.19</v>
      </c>
    </row>
    <row r="116" spans="2:14" ht="12.75">
      <c r="B116" s="418">
        <v>2</v>
      </c>
      <c r="C116" s="85" t="s">
        <v>131</v>
      </c>
      <c r="M116" s="437" t="s">
        <v>289</v>
      </c>
      <c r="N116" s="435">
        <f>N72</f>
        <v>0</v>
      </c>
    </row>
    <row r="117" spans="2:14" ht="12.75">
      <c r="B117" s="308">
        <v>3</v>
      </c>
      <c r="C117" s="85" t="s">
        <v>136</v>
      </c>
      <c r="M117" s="341" t="s">
        <v>289</v>
      </c>
      <c r="N117" s="435">
        <f>N115-N116</f>
        <v>5928716.19</v>
      </c>
    </row>
  </sheetData>
  <sheetProtection formatCells="0" formatColumns="0" formatRows="0"/>
  <mergeCells count="12">
    <mergeCell ref="B76:O81"/>
    <mergeCell ref="L1:M1"/>
    <mergeCell ref="X111:Y111"/>
    <mergeCell ref="P92:R93"/>
    <mergeCell ref="A97:O98"/>
    <mergeCell ref="A1:D1"/>
    <mergeCell ref="E1:G1"/>
    <mergeCell ref="J1:K1"/>
    <mergeCell ref="A106:O109"/>
    <mergeCell ref="B83:G83"/>
    <mergeCell ref="B90:G91"/>
    <mergeCell ref="T75:AE75"/>
  </mergeCells>
  <hyperlinks>
    <hyperlink ref="B64" location="IndividualCharterSchoolCounts" display="IndividualCharterSchoolCounts"/>
    <hyperlink ref="B65" location="IndividualCharterSchoolCounts" display="IndividualCharterSchoolCounts"/>
    <hyperlink ref="B66" location="IndividualCharterSchoolCounts" display="IndividualCharterSchoolCounts"/>
    <hyperlink ref="C31:O31" location="'Data Entry'!B22" display="Table 2 - Charter Holder Total Charter School Counts (only calculated if one or more criteria are checked on the Data Entry Tab)"/>
    <hyperlink ref="B57" location="IndividualCharterSchoolCounts" display="IndividualCharterSchoolCounts"/>
    <hyperlink ref="B58" location="IndividualCharterSchoolCounts" display="IndividualCharterSchoolCounts"/>
    <hyperlink ref="B59" location="IndividualCharterSchoolCounts" display="IndividualCharterSchoolCounts"/>
    <hyperlink ref="B111" location="PercentStatewideWeightedStudentCount" display="PercentStatewideWeightedStudentCount"/>
    <hyperlink ref="C6:G6" location="IndividualCharterSchoolCounts" display="Table 1 - Individual Charter School Counts "/>
    <hyperlink ref="C6:H6" location="'Data Entry'!B13" display="Table 1 - Individual Charter School Counts "/>
    <hyperlink ref="B64:B66" location="'Data Entry'!B13" display="'Data Entry'!B13"/>
    <hyperlink ref="C31" location="'Data Entry'!B22" display="Table 2 - Charter Holder Total Charter School Counts (only calculated if one or more criteria are checked on the Data Entry Tab)"/>
    <hyperlink ref="B101" location="CHAR55!A128" display="CHAR55!A128"/>
    <hyperlink ref="B115" location="CHAR55!A135" display="CHAR55!A135"/>
    <hyperlink ref="B116" location="Calculations!N72" display="Calculations!N72"/>
  </hyperlinks>
  <printOptions horizontalCentered="1"/>
  <pageMargins left="0.2" right="0.2" top="0.25" bottom="0.25" header="0.5" footer="0.25"/>
  <pageSetup fitToHeight="1" fitToWidth="1" horizontalDpi="600" verticalDpi="600" orientation="portrait" scale="48" r:id="rId1"/>
  <headerFooter>
    <oddFooter>&amp;L&amp;"Arial,Bold"Rev. 5/19 Arizona Department of Education and Auditor General&amp;R&amp;"Arial,Bold"Calculations</oddFooter>
  </headerFooter>
  <rowBreaks count="1" manualBreakCount="1">
    <brk id="74"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Charter School Annual Budget Forms-Schoolwide</dc:title>
  <dc:subject/>
  <dc:creator>Office of the Auditor General</dc:creator>
  <cp:keywords/>
  <dc:description/>
  <cp:lastModifiedBy>CEO</cp:lastModifiedBy>
  <cp:lastPrinted>2019-06-21T04:38:01Z</cp:lastPrinted>
  <dcterms:created xsi:type="dcterms:W3CDTF">1997-10-08T16:25:08Z</dcterms:created>
  <dcterms:modified xsi:type="dcterms:W3CDTF">2019-06-21T21:07:21Z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scalYear">
    <vt:lpwstr>2020</vt:lpwstr>
  </property>
  <property fmtid="{D5CDD505-2E9C-101B-9397-08002B2CF9AE}" pid="3" name="BudgetTypeID">
    <vt:lpwstr>7</vt:lpwstr>
  </property>
  <property fmtid="{D5CDD505-2E9C-101B-9397-08002B2CF9AE}" pid="4" name="SchoolBySchool">
    <vt:lpwstr>0</vt:lpwstr>
  </property>
  <property fmtid="{D5CDD505-2E9C-101B-9397-08002B2CF9AE}" pid="5" name="Password">
    <vt:lpwstr>040114</vt:lpwstr>
  </property>
</Properties>
</file>